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120" yWindow="135" windowWidth="9420" windowHeight="4500" activeTab="2"/>
  </bookViews>
  <sheets>
    <sheet name="FF CREDINET VDF A" sheetId="7" r:id="rId1"/>
    <sheet name="FF CREDINET VDF B" sheetId="9" r:id="rId2"/>
    <sheet name="FF CREDINET VDF C" sheetId="10" r:id="rId3"/>
  </sheets>
  <definedNames>
    <definedName name="_xlnm.Print_Area" localSheetId="0">'FF CREDINET VDF A'!$A$6:$I$30</definedName>
    <definedName name="_xlnm.Print_Area" localSheetId="1">'FF CREDINET VDF B'!$A$4:$I$25</definedName>
    <definedName name="_xlnm.Print_Area" localSheetId="2">'FF CREDINET VDF C'!$A$2:$I$23</definedName>
    <definedName name="VN" localSheetId="1">'FF CREDINET VDF B'!$F$16</definedName>
    <definedName name="VN" localSheetId="2">'FF CREDINET VDF C'!$F$16</definedName>
    <definedName name="VN">'FF CREDINET VDF A'!$F$16</definedName>
  </definedNames>
  <calcPr calcId="125725"/>
</workbook>
</file>

<file path=xl/calcChain.xml><?xml version="1.0" encoding="utf-8"?>
<calcChain xmlns="http://schemas.openxmlformats.org/spreadsheetml/2006/main">
  <c r="D44" i="7"/>
  <c r="B18" i="10" l="1"/>
  <c r="B18" i="9"/>
  <c r="D43" i="10" l="1"/>
  <c r="G14" l="1"/>
  <c r="R32"/>
  <c r="R31"/>
  <c r="R30"/>
  <c r="R29"/>
  <c r="R28"/>
  <c r="R27"/>
  <c r="R26"/>
  <c r="R25"/>
  <c r="R24"/>
  <c r="R23"/>
  <c r="R22"/>
  <c r="R21"/>
  <c r="R20"/>
  <c r="R19"/>
  <c r="B39"/>
  <c r="L18"/>
  <c r="R18" s="1"/>
  <c r="P11"/>
  <c r="P10"/>
  <c r="E41" s="1"/>
  <c r="H18"/>
  <c r="Q18" i="7"/>
  <c r="G14"/>
  <c r="Q26"/>
  <c r="Q25"/>
  <c r="Q24"/>
  <c r="Q23"/>
  <c r="Q22"/>
  <c r="Q21"/>
  <c r="Q20"/>
  <c r="Q19"/>
  <c r="B34"/>
  <c r="Q17"/>
  <c r="O11"/>
  <c r="O10"/>
  <c r="E39" s="1"/>
  <c r="G14" i="9"/>
  <c r="R19"/>
  <c r="R20"/>
  <c r="R21"/>
  <c r="R22"/>
  <c r="R23"/>
  <c r="R24"/>
  <c r="R25"/>
  <c r="R26"/>
  <c r="R27"/>
  <c r="R28"/>
  <c r="R29"/>
  <c r="R30"/>
  <c r="B37"/>
  <c r="E40" i="10" l="1"/>
  <c r="E42"/>
  <c r="H39"/>
  <c r="F40" s="1"/>
  <c r="E40" i="7"/>
  <c r="E36"/>
  <c r="E35"/>
  <c r="E41"/>
  <c r="E37"/>
  <c r="E42"/>
  <c r="E38"/>
  <c r="E43"/>
  <c r="H34"/>
  <c r="F35" s="1"/>
  <c r="E44" l="1"/>
  <c r="E43" i="10"/>
  <c r="H40"/>
  <c r="F41" s="1"/>
  <c r="G35" i="7"/>
  <c r="H35"/>
  <c r="H41" i="10" l="1"/>
  <c r="G41"/>
  <c r="G40"/>
  <c r="F36" i="7"/>
  <c r="H36"/>
  <c r="H42" i="10" l="1"/>
  <c r="F42"/>
  <c r="G36" i="7"/>
  <c r="H37"/>
  <c r="F37"/>
  <c r="G37" s="1"/>
  <c r="F43" i="10" l="1"/>
  <c r="G42"/>
  <c r="H38" i="7"/>
  <c r="F38"/>
  <c r="G38" s="1"/>
  <c r="G43" i="10" l="1"/>
  <c r="G9"/>
  <c r="H39" i="7"/>
  <c r="F39"/>
  <c r="G39" l="1"/>
  <c r="H40"/>
  <c r="F40"/>
  <c r="G40" s="1"/>
  <c r="H41" l="1"/>
  <c r="F41"/>
  <c r="G41" s="1"/>
  <c r="H42" l="1"/>
  <c r="F42"/>
  <c r="G42" s="1"/>
  <c r="H43" l="1"/>
  <c r="F43"/>
  <c r="G43" l="1"/>
  <c r="G9" s="1"/>
  <c r="F44"/>
  <c r="G44" s="1"/>
  <c r="L18" i="9"/>
  <c r="R18" s="1"/>
  <c r="D11" i="7" l="1"/>
  <c r="C19" s="1"/>
  <c r="C22" l="1"/>
  <c r="C21"/>
  <c r="C25"/>
  <c r="C20"/>
  <c r="C24"/>
  <c r="C23"/>
  <c r="C27"/>
  <c r="C26"/>
  <c r="D11" i="10"/>
  <c r="H18" i="9"/>
  <c r="P11"/>
  <c r="D11"/>
  <c r="C19" s="1"/>
  <c r="P10"/>
  <c r="E40" s="1"/>
  <c r="C19" i="10" l="1"/>
  <c r="P19" s="1"/>
  <c r="F19" s="1"/>
  <c r="E19" s="1"/>
  <c r="D19" s="1"/>
  <c r="P19" i="9"/>
  <c r="C28" i="10"/>
  <c r="C32"/>
  <c r="C20"/>
  <c r="C27"/>
  <c r="C31"/>
  <c r="C21"/>
  <c r="C26"/>
  <c r="C30"/>
  <c r="C22"/>
  <c r="C25"/>
  <c r="C29"/>
  <c r="C23"/>
  <c r="C24"/>
  <c r="C21" i="9"/>
  <c r="C24"/>
  <c r="C22"/>
  <c r="C26"/>
  <c r="C30"/>
  <c r="C25"/>
  <c r="C29"/>
  <c r="C20"/>
  <c r="C28"/>
  <c r="C23"/>
  <c r="C27"/>
  <c r="E39"/>
  <c r="D41"/>
  <c r="H37"/>
  <c r="F38" s="1"/>
  <c r="E38"/>
  <c r="Q19" i="10" l="1"/>
  <c r="G19"/>
  <c r="S19" s="1"/>
  <c r="T19" s="1"/>
  <c r="H19"/>
  <c r="P20" s="1"/>
  <c r="F19" i="9"/>
  <c r="E19" s="1"/>
  <c r="E41"/>
  <c r="H38"/>
  <c r="F39" s="1"/>
  <c r="G39" s="1"/>
  <c r="F20" i="10" l="1"/>
  <c r="Q20" s="1"/>
  <c r="H19" i="9"/>
  <c r="D19"/>
  <c r="H39"/>
  <c r="G38"/>
  <c r="E20" i="10" l="1"/>
  <c r="G20" s="1"/>
  <c r="S20" s="1"/>
  <c r="T20" s="1"/>
  <c r="P20" i="9"/>
  <c r="H40"/>
  <c r="F40"/>
  <c r="G40" s="1"/>
  <c r="G18" i="10"/>
  <c r="D20" l="1"/>
  <c r="H20"/>
  <c r="P21" s="1"/>
  <c r="F21" s="1"/>
  <c r="G9" i="9"/>
  <c r="Q21" i="10" l="1"/>
  <c r="E21"/>
  <c r="H21" l="1"/>
  <c r="G21"/>
  <c r="D21"/>
  <c r="F41" i="9"/>
  <c r="S21" i="10" l="1"/>
  <c r="T21" s="1"/>
  <c r="P22"/>
  <c r="G41" i="9"/>
  <c r="F22" i="10" l="1"/>
  <c r="G18" i="9"/>
  <c r="E22" i="10" l="1"/>
  <c r="Q22"/>
  <c r="H18" i="7"/>
  <c r="O18" s="1"/>
  <c r="D22" i="10" l="1"/>
  <c r="G22"/>
  <c r="H22"/>
  <c r="F19" i="7"/>
  <c r="E19" s="1"/>
  <c r="D19" s="1"/>
  <c r="S22" i="10" l="1"/>
  <c r="T22" s="1"/>
  <c r="P23"/>
  <c r="F23" s="1"/>
  <c r="E23" s="1"/>
  <c r="G19" i="7"/>
  <c r="R18" s="1"/>
  <c r="H19"/>
  <c r="O19" s="1"/>
  <c r="P18"/>
  <c r="Q23" i="10" l="1"/>
  <c r="H23"/>
  <c r="G23"/>
  <c r="D23"/>
  <c r="F20" i="7"/>
  <c r="E20" s="1"/>
  <c r="S18"/>
  <c r="H20" l="1"/>
  <c r="O20" s="1"/>
  <c r="D20"/>
  <c r="S23" i="10"/>
  <c r="T23" s="1"/>
  <c r="P24"/>
  <c r="P19" i="7"/>
  <c r="G20"/>
  <c r="R19" s="1"/>
  <c r="S19" s="1"/>
  <c r="F24" i="10" l="1"/>
  <c r="E24" s="1"/>
  <c r="F21" i="7"/>
  <c r="E21" s="1"/>
  <c r="H21" l="1"/>
  <c r="O21" s="1"/>
  <c r="D21"/>
  <c r="Q24" i="10"/>
  <c r="G24"/>
  <c r="D24"/>
  <c r="H24"/>
  <c r="P20" i="7"/>
  <c r="G21"/>
  <c r="R20" s="1"/>
  <c r="S20" s="1"/>
  <c r="S24" i="10" l="1"/>
  <c r="T24" s="1"/>
  <c r="P25"/>
  <c r="F22" i="7"/>
  <c r="E22" s="1"/>
  <c r="H22" l="1"/>
  <c r="O22" s="1"/>
  <c r="D22"/>
  <c r="F25" i="10"/>
  <c r="E25" s="1"/>
  <c r="P21" i="7"/>
  <c r="G22"/>
  <c r="R21" s="1"/>
  <c r="S21" s="1"/>
  <c r="Q25" i="10" l="1"/>
  <c r="D25"/>
  <c r="G25"/>
  <c r="H25"/>
  <c r="F23" i="7"/>
  <c r="P22" s="1"/>
  <c r="S25" i="10" l="1"/>
  <c r="T25" s="1"/>
  <c r="P26"/>
  <c r="E23" i="7"/>
  <c r="H23" l="1"/>
  <c r="O23" s="1"/>
  <c r="D23"/>
  <c r="F26" i="10"/>
  <c r="E26" s="1"/>
  <c r="G23" i="7"/>
  <c r="R22" s="1"/>
  <c r="S22" s="1"/>
  <c r="Q26" i="10" l="1"/>
  <c r="H26"/>
  <c r="G26"/>
  <c r="D26"/>
  <c r="F24" i="7"/>
  <c r="E24" s="1"/>
  <c r="D24" s="1"/>
  <c r="S26" i="10" l="1"/>
  <c r="T26" s="1"/>
  <c r="P27"/>
  <c r="G24" i="7"/>
  <c r="R23" s="1"/>
  <c r="S23" s="1"/>
  <c r="H24"/>
  <c r="P23"/>
  <c r="F27" i="10" l="1"/>
  <c r="E27" s="1"/>
  <c r="O24" i="7"/>
  <c r="G18"/>
  <c r="Q27" i="10" l="1"/>
  <c r="G27"/>
  <c r="S27" s="1"/>
  <c r="T27" s="1"/>
  <c r="D27"/>
  <c r="H27"/>
  <c r="F25" i="7"/>
  <c r="E25" s="1"/>
  <c r="D25" s="1"/>
  <c r="P28" i="10" l="1"/>
  <c r="P24" i="7"/>
  <c r="G25"/>
  <c r="H25"/>
  <c r="R24" l="1"/>
  <c r="S24" s="1"/>
  <c r="F28" i="10"/>
  <c r="E28" s="1"/>
  <c r="O25" i="7"/>
  <c r="F26" s="1"/>
  <c r="E26" s="1"/>
  <c r="D26" s="1"/>
  <c r="G28" i="10" l="1"/>
  <c r="S28" s="1"/>
  <c r="T28" s="1"/>
  <c r="D28"/>
  <c r="H28"/>
  <c r="Q28"/>
  <c r="G26" i="7"/>
  <c r="H26"/>
  <c r="P25"/>
  <c r="R25" l="1"/>
  <c r="S25" s="1"/>
  <c r="P29" i="10"/>
  <c r="O26" i="7"/>
  <c r="F27" l="1"/>
  <c r="E27" s="1"/>
  <c r="D27" s="1"/>
  <c r="P26" l="1"/>
  <c r="G27"/>
  <c r="M27" i="9" s="1"/>
  <c r="H27" i="7"/>
  <c r="R26" l="1"/>
  <c r="S26" s="1"/>
  <c r="Q19" i="9" l="1"/>
  <c r="G19"/>
  <c r="S19" l="1"/>
  <c r="T19" s="1"/>
  <c r="F20"/>
  <c r="Q20" s="1"/>
  <c r="E20" l="1"/>
  <c r="G20" s="1"/>
  <c r="S20" l="1"/>
  <c r="T20" s="1"/>
  <c r="D20"/>
  <c r="H20"/>
  <c r="P21" l="1"/>
  <c r="F21" l="1"/>
  <c r="E21" s="1"/>
  <c r="Q21" l="1"/>
  <c r="D21"/>
  <c r="G21"/>
  <c r="H21"/>
  <c r="P22" s="1"/>
  <c r="S21" l="1"/>
  <c r="T21" s="1"/>
  <c r="F22"/>
  <c r="E22" s="1"/>
  <c r="D22" s="1"/>
  <c r="G22" l="1"/>
  <c r="Q22"/>
  <c r="H22"/>
  <c r="P23" s="1"/>
  <c r="S22" l="1"/>
  <c r="T22" s="1"/>
  <c r="F23"/>
  <c r="E23" s="1"/>
  <c r="D23" s="1"/>
  <c r="G23" l="1"/>
  <c r="Q23"/>
  <c r="H23"/>
  <c r="P24" s="1"/>
  <c r="S23" l="1"/>
  <c r="T23" s="1"/>
  <c r="F24"/>
  <c r="E24" s="1"/>
  <c r="D24" s="1"/>
  <c r="Q24" l="1"/>
  <c r="G24"/>
  <c r="S24" s="1"/>
  <c r="H24"/>
  <c r="T24" l="1"/>
  <c r="P25"/>
  <c r="F25" s="1"/>
  <c r="Q25" s="1"/>
  <c r="E25" l="1"/>
  <c r="D25" l="1"/>
  <c r="H25"/>
  <c r="P26" s="1"/>
  <c r="F26" s="1"/>
  <c r="Q26" s="1"/>
  <c r="G25"/>
  <c r="S25" s="1"/>
  <c r="T25" s="1"/>
  <c r="E26" l="1"/>
  <c r="D26" s="1"/>
  <c r="G26" l="1"/>
  <c r="S26" s="1"/>
  <c r="T26" s="1"/>
  <c r="H26"/>
  <c r="P27" s="1"/>
  <c r="F27" l="1"/>
  <c r="E27" s="1"/>
  <c r="D27" s="1"/>
  <c r="Q27" l="1"/>
  <c r="G27"/>
  <c r="S27" s="1"/>
  <c r="T27" s="1"/>
  <c r="H27"/>
  <c r="P28" l="1"/>
  <c r="F28" l="1"/>
  <c r="Q28" s="1"/>
  <c r="E28" l="1"/>
  <c r="D28" s="1"/>
  <c r="G28" l="1"/>
  <c r="S28" s="1"/>
  <c r="T28" s="1"/>
  <c r="H28"/>
  <c r="P29" l="1"/>
  <c r="F29" l="1"/>
  <c r="E29" l="1"/>
  <c r="D29" s="1"/>
  <c r="Q29"/>
  <c r="G29" l="1"/>
  <c r="H29"/>
  <c r="S29" l="1"/>
  <c r="T29" s="1"/>
  <c r="M29" i="10"/>
  <c r="F29" s="1"/>
  <c r="P30" i="9"/>
  <c r="E29" i="10" l="1"/>
  <c r="Q29"/>
  <c r="F30" i="9"/>
  <c r="Q30" s="1"/>
  <c r="H29" i="10" l="1"/>
  <c r="D29"/>
  <c r="G29"/>
  <c r="S29" s="1"/>
  <c r="T29" s="1"/>
  <c r="E30" i="9"/>
  <c r="D30" s="1"/>
  <c r="P30" i="10" l="1"/>
  <c r="G30" i="9"/>
  <c r="H30"/>
  <c r="F30" i="10" l="1"/>
  <c r="E30" s="1"/>
  <c r="S30" i="9"/>
  <c r="T30" s="1"/>
  <c r="M30" i="10"/>
  <c r="F28" i="7"/>
  <c r="E28"/>
  <c r="D30" i="10" l="1"/>
  <c r="G30"/>
  <c r="S30" s="1"/>
  <c r="T30" s="1"/>
  <c r="H30"/>
  <c r="Q30"/>
  <c r="D28" i="7"/>
  <c r="P31" i="10" l="1"/>
  <c r="F31" s="1"/>
  <c r="E31" s="1"/>
  <c r="G11" i="7"/>
  <c r="G12" s="1"/>
  <c r="G13" s="1"/>
  <c r="G28"/>
  <c r="S27"/>
  <c r="D31" i="10" l="1"/>
  <c r="G31"/>
  <c r="S31" s="1"/>
  <c r="T31" s="1"/>
  <c r="H31"/>
  <c r="Q31"/>
  <c r="R27" i="7"/>
  <c r="S28" s="1"/>
  <c r="S30" s="1"/>
  <c r="G10" s="1"/>
  <c r="P32" i="10" l="1"/>
  <c r="F32" s="1"/>
  <c r="E32" s="1"/>
  <c r="E31" i="9"/>
  <c r="F31"/>
  <c r="D32" i="10" l="1"/>
  <c r="G32"/>
  <c r="S32" s="1"/>
  <c r="T32" s="1"/>
  <c r="H32"/>
  <c r="Q32"/>
  <c r="D31" i="9"/>
  <c r="G31" l="1"/>
  <c r="G11"/>
  <c r="T31"/>
  <c r="S31"/>
  <c r="G12" l="1"/>
  <c r="G13" s="1"/>
  <c r="T32" l="1"/>
  <c r="T33" s="1"/>
  <c r="G10" s="1"/>
  <c r="F33" i="10" l="1"/>
  <c r="G11" l="1"/>
  <c r="G12" s="1"/>
  <c r="G13" s="1"/>
  <c r="D33"/>
  <c r="E33"/>
  <c r="G33" l="1"/>
  <c r="T33" l="1"/>
  <c r="S33"/>
  <c r="T34" l="1"/>
  <c r="T35" s="1"/>
  <c r="G10" s="1"/>
</calcChain>
</file>

<file path=xl/sharedStrings.xml><?xml version="1.0" encoding="utf-8"?>
<sst xmlns="http://schemas.openxmlformats.org/spreadsheetml/2006/main" count="142" uniqueCount="42">
  <si>
    <t>Fecha</t>
  </si>
  <si>
    <t>Cupón:</t>
  </si>
  <si>
    <t>Amortización</t>
  </si>
  <si>
    <t>Interés</t>
  </si>
  <si>
    <t>Días</t>
  </si>
  <si>
    <t>Total Flujo</t>
  </si>
  <si>
    <t>Duration</t>
  </si>
  <si>
    <t>% Amortiz.</t>
  </si>
  <si>
    <t>Precio de Corte:</t>
  </si>
  <si>
    <t>Saldo de Capital</t>
  </si>
  <si>
    <t>Spread:</t>
  </si>
  <si>
    <t>Duration (meses):</t>
  </si>
  <si>
    <t>TIR REAL:</t>
  </si>
  <si>
    <t>Valor Nominal:</t>
  </si>
  <si>
    <t>Badlar Proyectada:</t>
  </si>
  <si>
    <t>TIR Solicitada:</t>
  </si>
  <si>
    <t>Intereses</t>
  </si>
  <si>
    <t>TNA:</t>
  </si>
  <si>
    <t>FF TEÓRICO CUPÓN MÍNIMO</t>
  </si>
  <si>
    <t>Spread sobre Badlar:</t>
  </si>
  <si>
    <t>Mínimo</t>
  </si>
  <si>
    <t>Máximo</t>
  </si>
  <si>
    <t>Dev. VDF B</t>
  </si>
  <si>
    <t>(Cupón Mínimo)</t>
  </si>
  <si>
    <t>Flujo Disponible</t>
  </si>
  <si>
    <t>Interés Período Devengado</t>
  </si>
  <si>
    <t>Interés Acumulado a Pagar</t>
  </si>
  <si>
    <t>Fecha Devengamiento</t>
  </si>
  <si>
    <t>VP</t>
  </si>
  <si>
    <t>Dev. VDF A</t>
  </si>
  <si>
    <t>Dev. VDF C</t>
  </si>
  <si>
    <t>VDF A</t>
  </si>
  <si>
    <t>VDF B</t>
  </si>
  <si>
    <t>VDF C</t>
  </si>
  <si>
    <t>Calculadora Fideicomiso Financiero CREDINET II (VDF A)</t>
  </si>
  <si>
    <t>Calculadora Fideicomiso Financiero CREDINET II (VDF B)</t>
  </si>
  <si>
    <t>Calculadora Fideicomiso Financiero CREDINET II (VDF C)</t>
  </si>
  <si>
    <t>Cupón</t>
  </si>
  <si>
    <t>Cupón Mínimo</t>
  </si>
  <si>
    <t>Flujo de Fondos Teórico al Cupón Mínimo</t>
  </si>
  <si>
    <t>Instrucciones</t>
  </si>
  <si>
    <t>En las celdas D8 y G8 coloque la cantidad de títulos a suscribir y la TIR ofertada. En la celda D9 cargar la Tasa Badlar estimada.</t>
  </si>
</sst>
</file>

<file path=xl/styles.xml><?xml version="1.0" encoding="utf-8"?>
<styleSheet xmlns="http://schemas.openxmlformats.org/spreadsheetml/2006/main">
  <numFmts count="9">
    <numFmt numFmtId="5" formatCode="&quot;$&quot;\ #,##0;&quot;$&quot;\ \-#,##0"/>
    <numFmt numFmtId="6" formatCode="&quot;$&quot;\ #,##0;[Red]&quot;$&quot;\ \-#,##0"/>
    <numFmt numFmtId="8" formatCode="&quot;$&quot;\ #,##0.00;[Red]&quot;$&quot;\ \-#,##0.00"/>
    <numFmt numFmtId="43" formatCode="_ * #,##0.00_ ;_ * \-#,##0.00_ ;_ * &quot;-&quot;??_ ;_ @_ "/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_-* #,##0.00\ [$€]_-;\-* #,##0.00\ [$€]_-;_-* &quot;-&quot;??\ [$€]_-;_-@_-"/>
    <numFmt numFmtId="167" formatCode="0.0000%"/>
    <numFmt numFmtId="169" formatCode="&quot;$&quot;\ #,##0.000000;&quot;$&quot;\ \-#,##0.000000"/>
  </numFmts>
  <fonts count="2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9"/>
      <color theme="2" tint="-0.74999237037263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8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</borders>
  <cellStyleXfs count="5">
    <xf numFmtId="0" fontId="0" fillId="0" borderId="0"/>
    <xf numFmtId="0" fontId="2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2">
    <xf numFmtId="0" fontId="0" fillId="0" borderId="0" xfId="0"/>
    <xf numFmtId="0" fontId="23" fillId="4" borderId="0" xfId="1" applyFont="1" applyFill="1" applyBorder="1" applyAlignment="1" applyProtection="1">
      <alignment vertical="justify" wrapText="1"/>
      <protection hidden="1"/>
    </xf>
    <xf numFmtId="0" fontId="10" fillId="2" borderId="0" xfId="0" applyFont="1" applyFill="1" applyBorder="1" applyProtection="1">
      <protection hidden="1"/>
    </xf>
    <xf numFmtId="0" fontId="10" fillId="2" borderId="0" xfId="0" applyFont="1" applyFill="1" applyProtection="1"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12" fillId="5" borderId="0" xfId="0" applyFont="1" applyFill="1" applyProtection="1">
      <protection hidden="1"/>
    </xf>
    <xf numFmtId="0" fontId="12" fillId="5" borderId="0" xfId="0" applyFont="1" applyFill="1" applyBorder="1" applyProtection="1">
      <protection hidden="1"/>
    </xf>
    <xf numFmtId="0" fontId="12" fillId="3" borderId="0" xfId="0" applyFont="1" applyFill="1" applyProtection="1"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Protection="1"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9" fillId="2" borderId="1" xfId="0" applyFont="1" applyFill="1" applyBorder="1" applyAlignment="1" applyProtection="1">
      <alignment horizont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16" fontId="12" fillId="5" borderId="0" xfId="0" applyNumberFormat="1" applyFont="1" applyFill="1" applyProtection="1">
      <protection hidden="1"/>
    </xf>
    <xf numFmtId="0" fontId="13" fillId="2" borderId="1" xfId="0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Alignment="1" applyProtection="1">
      <alignment horizontal="center"/>
      <protection hidden="1"/>
    </xf>
    <xf numFmtId="14" fontId="12" fillId="5" borderId="0" xfId="0" applyNumberFormat="1" applyFont="1" applyFill="1" applyProtection="1">
      <protection hidden="1"/>
    </xf>
    <xf numFmtId="0" fontId="10" fillId="2" borderId="1" xfId="0" applyFont="1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22" fillId="3" borderId="0" xfId="0" applyFont="1" applyFill="1" applyBorder="1" applyAlignment="1" applyProtection="1">
      <alignment horizontal="center"/>
      <protection hidden="1"/>
    </xf>
    <xf numFmtId="167" fontId="10" fillId="2" borderId="0" xfId="0" applyNumberFormat="1" applyFont="1" applyFill="1" applyProtection="1">
      <protection hidden="1"/>
    </xf>
    <xf numFmtId="0" fontId="10" fillId="5" borderId="0" xfId="0" applyFont="1" applyFill="1" applyBorder="1" applyProtection="1"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15" fillId="2" borderId="0" xfId="4" applyNumberFormat="1" applyFont="1" applyFill="1" applyBorder="1" applyProtection="1">
      <protection hidden="1"/>
    </xf>
    <xf numFmtId="10" fontId="15" fillId="2" borderId="0" xfId="4" applyNumberFormat="1" applyFont="1" applyFill="1" applyBorder="1" applyProtection="1">
      <protection hidden="1"/>
    </xf>
    <xf numFmtId="0" fontId="10" fillId="5" borderId="0" xfId="0" applyFont="1" applyFill="1" applyProtection="1">
      <protection hidden="1"/>
    </xf>
    <xf numFmtId="0" fontId="15" fillId="5" borderId="8" xfId="0" applyFont="1" applyFill="1" applyBorder="1" applyProtection="1">
      <protection hidden="1"/>
    </xf>
    <xf numFmtId="8" fontId="15" fillId="5" borderId="10" xfId="3" applyNumberFormat="1" applyFont="1" applyFill="1" applyBorder="1" applyAlignment="1" applyProtection="1">
      <protection hidden="1"/>
    </xf>
    <xf numFmtId="0" fontId="10" fillId="6" borderId="0" xfId="0" applyFont="1" applyFill="1" applyProtection="1">
      <protection hidden="1"/>
    </xf>
    <xf numFmtId="0" fontId="10" fillId="6" borderId="0" xfId="0" applyFont="1" applyFill="1" applyBorder="1" applyProtection="1">
      <protection hidden="1"/>
    </xf>
    <xf numFmtId="164" fontId="10" fillId="3" borderId="0" xfId="3" applyFont="1" applyFill="1" applyProtection="1">
      <protection hidden="1"/>
    </xf>
    <xf numFmtId="10" fontId="10" fillId="2" borderId="0" xfId="0" applyNumberFormat="1" applyFont="1" applyFill="1" applyBorder="1" applyProtection="1">
      <protection hidden="1"/>
    </xf>
    <xf numFmtId="0" fontId="15" fillId="5" borderId="11" xfId="0" applyFont="1" applyFill="1" applyBorder="1" applyProtection="1">
      <protection hidden="1"/>
    </xf>
    <xf numFmtId="167" fontId="15" fillId="5" borderId="12" xfId="4" applyNumberFormat="1" applyFont="1" applyFill="1" applyBorder="1" applyProtection="1">
      <protection hidden="1"/>
    </xf>
    <xf numFmtId="167" fontId="20" fillId="6" borderId="0" xfId="4" applyNumberFormat="1" applyFont="1" applyFill="1" applyBorder="1" applyProtection="1">
      <protection hidden="1"/>
    </xf>
    <xf numFmtId="0" fontId="22" fillId="3" borderId="0" xfId="0" applyFont="1" applyFill="1" applyBorder="1" applyAlignment="1" applyProtection="1">
      <protection hidden="1"/>
    </xf>
    <xf numFmtId="0" fontId="20" fillId="6" borderId="0" xfId="0" applyFont="1" applyFill="1" applyBorder="1" applyProtection="1">
      <protection hidden="1"/>
    </xf>
    <xf numFmtId="0" fontId="15" fillId="3" borderId="0" xfId="0" applyFont="1" applyFill="1" applyBorder="1" applyProtection="1">
      <protection hidden="1"/>
    </xf>
    <xf numFmtId="10" fontId="15" fillId="3" borderId="0" xfId="0" applyNumberFormat="1" applyFont="1" applyFill="1" applyBorder="1" applyAlignment="1" applyProtection="1">
      <alignment horizontal="center"/>
      <protection hidden="1"/>
    </xf>
    <xf numFmtId="10" fontId="17" fillId="2" borderId="0" xfId="0" applyNumberFormat="1" applyFont="1" applyFill="1" applyBorder="1" applyProtection="1">
      <protection hidden="1"/>
    </xf>
    <xf numFmtId="10" fontId="15" fillId="3" borderId="0" xfId="4" applyNumberFormat="1" applyFont="1" applyFill="1" applyBorder="1" applyProtection="1">
      <protection hidden="1"/>
    </xf>
    <xf numFmtId="0" fontId="15" fillId="5" borderId="2" xfId="0" applyFont="1" applyFill="1" applyBorder="1" applyAlignment="1" applyProtection="1">
      <alignment horizontal="center"/>
      <protection hidden="1"/>
    </xf>
    <xf numFmtId="0" fontId="15" fillId="5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5" fillId="5" borderId="5" xfId="0" applyFont="1" applyFill="1" applyBorder="1" applyAlignment="1" applyProtection="1">
      <alignment horizontal="center" vertical="center" wrapText="1"/>
      <protection hidden="1"/>
    </xf>
    <xf numFmtId="0" fontId="15" fillId="5" borderId="2" xfId="0" applyFont="1" applyFill="1" applyBorder="1" applyAlignment="1" applyProtection="1">
      <alignment horizontal="center" vertical="center" wrapText="1"/>
      <protection hidden="1"/>
    </xf>
    <xf numFmtId="0" fontId="15" fillId="5" borderId="0" xfId="0" applyFont="1" applyFill="1" applyBorder="1" applyAlignment="1" applyProtection="1">
      <alignment horizontal="center" vertical="center" wrapText="1"/>
      <protection hidden="1"/>
    </xf>
    <xf numFmtId="14" fontId="10" fillId="6" borderId="7" xfId="0" applyNumberFormat="1" applyFont="1" applyFill="1" applyBorder="1" applyAlignment="1" applyProtection="1">
      <alignment horizontal="center"/>
      <protection hidden="1"/>
    </xf>
    <xf numFmtId="0" fontId="10" fillId="5" borderId="5" xfId="0" applyFont="1" applyFill="1" applyBorder="1" applyProtection="1">
      <protection hidden="1"/>
    </xf>
    <xf numFmtId="14" fontId="10" fillId="5" borderId="5" xfId="0" applyNumberFormat="1" applyFont="1" applyFill="1" applyBorder="1" applyAlignment="1" applyProtection="1">
      <alignment horizontal="center"/>
      <protection hidden="1"/>
    </xf>
    <xf numFmtId="14" fontId="10" fillId="5" borderId="7" xfId="0" applyNumberFormat="1" applyFont="1" applyFill="1" applyBorder="1" applyProtection="1">
      <protection hidden="1"/>
    </xf>
    <xf numFmtId="14" fontId="10" fillId="6" borderId="5" xfId="0" applyNumberFormat="1" applyFont="1" applyFill="1" applyBorder="1" applyAlignment="1" applyProtection="1">
      <alignment horizontal="center"/>
      <protection hidden="1"/>
    </xf>
    <xf numFmtId="0" fontId="10" fillId="6" borderId="0" xfId="0" applyNumberFormat="1" applyFont="1" applyFill="1" applyBorder="1" applyAlignment="1" applyProtection="1">
      <alignment horizontal="center"/>
      <protection hidden="1"/>
    </xf>
    <xf numFmtId="14" fontId="10" fillId="6" borderId="0" xfId="0" applyNumberFormat="1" applyFont="1" applyFill="1" applyBorder="1" applyAlignment="1" applyProtection="1">
      <alignment horizontal="center"/>
      <protection hidden="1"/>
    </xf>
    <xf numFmtId="164" fontId="10" fillId="2" borderId="1" xfId="3" applyFont="1" applyFill="1" applyBorder="1" applyProtection="1">
      <protection hidden="1"/>
    </xf>
    <xf numFmtId="165" fontId="10" fillId="2" borderId="0" xfId="0" applyNumberFormat="1" applyFont="1" applyFill="1" applyBorder="1" applyAlignment="1" applyProtection="1">
      <alignment horizontal="right"/>
      <protection hidden="1"/>
    </xf>
    <xf numFmtId="14" fontId="10" fillId="6" borderId="3" xfId="0" applyNumberFormat="1" applyFont="1" applyFill="1" applyBorder="1" applyAlignment="1" applyProtection="1">
      <alignment horizontal="center"/>
      <protection hidden="1"/>
    </xf>
    <xf numFmtId="165" fontId="10" fillId="5" borderId="3" xfId="3" applyNumberFormat="1" applyFont="1" applyFill="1" applyBorder="1" applyProtection="1">
      <protection hidden="1"/>
    </xf>
    <xf numFmtId="14" fontId="10" fillId="5" borderId="3" xfId="0" applyNumberFormat="1" applyFont="1" applyFill="1" applyBorder="1" applyAlignment="1" applyProtection="1">
      <alignment horizontal="center"/>
      <protection hidden="1"/>
    </xf>
    <xf numFmtId="0" fontId="10" fillId="5" borderId="3" xfId="0" applyNumberFormat="1" applyFont="1" applyFill="1" applyBorder="1" applyAlignment="1" applyProtection="1">
      <alignment horizontal="center"/>
      <protection hidden="1"/>
    </xf>
    <xf numFmtId="5" fontId="10" fillId="6" borderId="3" xfId="3" applyNumberFormat="1" applyFont="1" applyFill="1" applyBorder="1" applyAlignment="1" applyProtection="1">
      <alignment horizontal="center"/>
      <protection hidden="1"/>
    </xf>
    <xf numFmtId="5" fontId="10" fillId="6" borderId="0" xfId="3" applyNumberFormat="1" applyFont="1" applyFill="1" applyBorder="1" applyAlignment="1" applyProtection="1">
      <alignment horizontal="center"/>
      <protection hidden="1"/>
    </xf>
    <xf numFmtId="14" fontId="10" fillId="6" borderId="4" xfId="0" applyNumberFormat="1" applyFont="1" applyFill="1" applyBorder="1" applyAlignment="1" applyProtection="1">
      <alignment horizontal="center"/>
      <protection hidden="1"/>
    </xf>
    <xf numFmtId="165" fontId="10" fillId="5" borderId="4" xfId="3" applyNumberFormat="1" applyFont="1" applyFill="1" applyBorder="1" applyProtection="1">
      <protection hidden="1"/>
    </xf>
    <xf numFmtId="14" fontId="10" fillId="5" borderId="4" xfId="0" applyNumberFormat="1" applyFont="1" applyFill="1" applyBorder="1" applyAlignment="1" applyProtection="1">
      <alignment horizontal="center"/>
      <protection hidden="1"/>
    </xf>
    <xf numFmtId="0" fontId="10" fillId="5" borderId="4" xfId="0" applyNumberFormat="1" applyFont="1" applyFill="1" applyBorder="1" applyAlignment="1" applyProtection="1">
      <alignment horizontal="center"/>
      <protection hidden="1"/>
    </xf>
    <xf numFmtId="5" fontId="10" fillId="6" borderId="4" xfId="3" applyNumberFormat="1" applyFont="1" applyFill="1" applyBorder="1" applyAlignment="1" applyProtection="1">
      <alignment horizontal="center"/>
      <protection hidden="1"/>
    </xf>
    <xf numFmtId="164" fontId="10" fillId="5" borderId="0" xfId="3" applyFont="1" applyFill="1" applyProtection="1">
      <protection hidden="1"/>
    </xf>
    <xf numFmtId="165" fontId="15" fillId="5" borderId="2" xfId="3" applyNumberFormat="1" applyFont="1" applyFill="1" applyBorder="1" applyProtection="1">
      <protection hidden="1"/>
    </xf>
    <xf numFmtId="2" fontId="10" fillId="5" borderId="0" xfId="0" applyNumberFormat="1" applyFont="1" applyFill="1" applyAlignment="1" applyProtection="1">
      <alignment horizontal="center"/>
      <protection hidden="1"/>
    </xf>
    <xf numFmtId="14" fontId="10" fillId="2" borderId="0" xfId="0" applyNumberFormat="1" applyFont="1" applyFill="1" applyBorder="1" applyProtection="1">
      <protection hidden="1"/>
    </xf>
    <xf numFmtId="10" fontId="10" fillId="0" borderId="0" xfId="0" applyNumberFormat="1" applyFont="1" applyFill="1" applyBorder="1" applyAlignment="1" applyProtection="1">
      <alignment horizontal="center"/>
      <protection hidden="1"/>
    </xf>
    <xf numFmtId="10" fontId="15" fillId="2" borderId="0" xfId="4" applyNumberFormat="1" applyFont="1" applyFill="1" applyBorder="1" applyAlignment="1" applyProtection="1">
      <alignment horizontal="center"/>
      <protection hidden="1"/>
    </xf>
    <xf numFmtId="165" fontId="15" fillId="0" borderId="0" xfId="3" applyNumberFormat="1" applyFont="1" applyFill="1" applyBorder="1" applyAlignment="1" applyProtection="1">
      <alignment horizontal="center"/>
      <protection hidden="1"/>
    </xf>
    <xf numFmtId="165" fontId="10" fillId="0" borderId="0" xfId="0" applyNumberFormat="1" applyFont="1" applyFill="1" applyBorder="1" applyAlignment="1" applyProtection="1">
      <alignment horizontal="right"/>
      <protection hidden="1"/>
    </xf>
    <xf numFmtId="5" fontId="10" fillId="5" borderId="0" xfId="0" applyNumberFormat="1" applyFont="1" applyFill="1" applyProtection="1">
      <protection hidden="1"/>
    </xf>
    <xf numFmtId="5" fontId="15" fillId="5" borderId="0" xfId="0" applyNumberFormat="1" applyFont="1" applyFill="1" applyAlignment="1" applyProtection="1">
      <alignment horizontal="center"/>
      <protection hidden="1"/>
    </xf>
    <xf numFmtId="2" fontId="15" fillId="5" borderId="2" xfId="0" applyNumberFormat="1" applyFont="1" applyFill="1" applyBorder="1" applyAlignment="1" applyProtection="1">
      <alignment horizontal="center"/>
      <protection hidden="1"/>
    </xf>
    <xf numFmtId="5" fontId="10" fillId="4" borderId="0" xfId="3" applyNumberFormat="1" applyFont="1" applyFill="1" applyBorder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5" fontId="12" fillId="5" borderId="0" xfId="0" applyNumberFormat="1" applyFont="1" applyFill="1" applyProtection="1">
      <protection hidden="1"/>
    </xf>
    <xf numFmtId="5" fontId="12" fillId="5" borderId="0" xfId="0" applyNumberFormat="1" applyFont="1" applyFill="1" applyBorder="1" applyProtection="1">
      <protection hidden="1"/>
    </xf>
    <xf numFmtId="5" fontId="12" fillId="4" borderId="0" xfId="3" applyNumberFormat="1" applyFont="1" applyFill="1" applyBorder="1" applyAlignment="1" applyProtection="1">
      <alignment horizontal="center"/>
      <protection hidden="1"/>
    </xf>
    <xf numFmtId="164" fontId="12" fillId="3" borderId="0" xfId="3" applyFont="1" applyFill="1" applyBorder="1" applyProtection="1">
      <protection hidden="1"/>
    </xf>
    <xf numFmtId="5" fontId="12" fillId="3" borderId="0" xfId="0" applyNumberFormat="1" applyFont="1" applyFill="1" applyProtection="1">
      <protection hidden="1"/>
    </xf>
    <xf numFmtId="10" fontId="10" fillId="2" borderId="0" xfId="4" applyNumberFormat="1" applyFont="1" applyFill="1" applyProtection="1">
      <protection hidden="1"/>
    </xf>
    <xf numFmtId="0" fontId="12" fillId="3" borderId="0" xfId="0" applyFont="1" applyFill="1" applyBorder="1" applyProtection="1">
      <protection hidden="1"/>
    </xf>
    <xf numFmtId="0" fontId="12" fillId="3" borderId="0" xfId="0" applyFont="1" applyFill="1" applyBorder="1" applyAlignment="1" applyProtection="1">
      <alignment horizontal="center"/>
      <protection hidden="1"/>
    </xf>
    <xf numFmtId="0" fontId="10" fillId="2" borderId="0" xfId="0" applyNumberFormat="1" applyFont="1" applyFill="1" applyProtection="1">
      <protection hidden="1"/>
    </xf>
    <xf numFmtId="0" fontId="19" fillId="3" borderId="0" xfId="0" applyFont="1" applyFill="1" applyBorder="1" applyAlignment="1" applyProtection="1">
      <alignment horizontal="center" vertical="center"/>
      <protection hidden="1"/>
    </xf>
    <xf numFmtId="164" fontId="10" fillId="3" borderId="1" xfId="3" applyFont="1" applyFill="1" applyBorder="1" applyProtection="1">
      <protection hidden="1"/>
    </xf>
    <xf numFmtId="14" fontId="21" fillId="3" borderId="0" xfId="0" applyNumberFormat="1" applyFont="1" applyFill="1" applyBorder="1" applyProtection="1">
      <protection hidden="1"/>
    </xf>
    <xf numFmtId="10" fontId="20" fillId="3" borderId="0" xfId="4" applyNumberFormat="1" applyFont="1" applyFill="1" applyBorder="1" applyAlignment="1" applyProtection="1">
      <alignment horizontal="center"/>
      <protection hidden="1"/>
    </xf>
    <xf numFmtId="165" fontId="10" fillId="3" borderId="0" xfId="0" applyNumberFormat="1" applyFont="1" applyFill="1" applyBorder="1" applyAlignment="1" applyProtection="1">
      <alignment horizontal="right"/>
      <protection hidden="1"/>
    </xf>
    <xf numFmtId="2" fontId="10" fillId="3" borderId="0" xfId="0" applyNumberFormat="1" applyFont="1" applyFill="1" applyAlignment="1" applyProtection="1">
      <alignment horizontal="center"/>
      <protection hidden="1"/>
    </xf>
    <xf numFmtId="0" fontId="24" fillId="4" borderId="14" xfId="1" applyFont="1" applyFill="1" applyBorder="1" applyAlignment="1" applyProtection="1">
      <alignment horizontal="center" vertical="center" wrapText="1"/>
      <protection hidden="1"/>
    </xf>
    <xf numFmtId="0" fontId="25" fillId="4" borderId="16" xfId="1" applyFont="1" applyFill="1" applyBorder="1" applyAlignment="1" applyProtection="1">
      <alignment horizontal="center" vertical="center" wrapText="1"/>
      <protection hidden="1"/>
    </xf>
    <xf numFmtId="0" fontId="25" fillId="4" borderId="13" xfId="1" applyFont="1" applyFill="1" applyBorder="1" applyAlignment="1" applyProtection="1">
      <alignment horizontal="center" vertical="center" wrapText="1"/>
      <protection hidden="1"/>
    </xf>
    <xf numFmtId="0" fontId="25" fillId="4" borderId="0" xfId="1" applyFont="1" applyFill="1" applyBorder="1" applyAlignment="1" applyProtection="1">
      <alignment horizontal="center" vertical="center" wrapText="1"/>
      <protection hidden="1"/>
    </xf>
    <xf numFmtId="0" fontId="25" fillId="4" borderId="19" xfId="1" applyFont="1" applyFill="1" applyBorder="1" applyAlignment="1" applyProtection="1">
      <alignment horizontal="center" vertical="center" wrapText="1"/>
      <protection hidden="1"/>
    </xf>
    <xf numFmtId="0" fontId="24" fillId="4" borderId="19" xfId="1" applyFont="1" applyFill="1" applyBorder="1" applyAlignment="1" applyProtection="1">
      <alignment horizontal="center" vertical="center" wrapText="1"/>
      <protection hidden="1"/>
    </xf>
    <xf numFmtId="0" fontId="24" fillId="4" borderId="15" xfId="1" applyFont="1" applyFill="1" applyBorder="1" applyAlignment="1" applyProtection="1">
      <alignment horizontal="center" vertical="center" wrapText="1"/>
      <protection hidden="1"/>
    </xf>
    <xf numFmtId="0" fontId="24" fillId="4" borderId="23" xfId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protection hidden="1"/>
    </xf>
    <xf numFmtId="0" fontId="20" fillId="7" borderId="15" xfId="0" applyFont="1" applyFill="1" applyBorder="1" applyAlignment="1" applyProtection="1">
      <alignment horizontal="center" vertical="center"/>
      <protection hidden="1"/>
    </xf>
    <xf numFmtId="0" fontId="10" fillId="2" borderId="24" xfId="0" applyFont="1" applyFill="1" applyBorder="1" applyProtection="1">
      <protection hidden="1"/>
    </xf>
    <xf numFmtId="0" fontId="20" fillId="7" borderId="14" xfId="0" applyFont="1" applyFill="1" applyBorder="1" applyAlignment="1" applyProtection="1">
      <alignment horizontal="center" vertical="center"/>
      <protection hidden="1"/>
    </xf>
    <xf numFmtId="164" fontId="10" fillId="2" borderId="24" xfId="3" applyFont="1" applyFill="1" applyBorder="1" applyProtection="1">
      <protection hidden="1"/>
    </xf>
    <xf numFmtId="10" fontId="21" fillId="4" borderId="13" xfId="0" applyNumberFormat="1" applyFont="1" applyFill="1" applyBorder="1" applyAlignment="1" applyProtection="1">
      <alignment horizontal="center"/>
      <protection hidden="1"/>
    </xf>
    <xf numFmtId="0" fontId="20" fillId="7" borderId="0" xfId="0" applyFont="1" applyFill="1" applyBorder="1" applyAlignment="1" applyProtection="1">
      <alignment horizontal="center" vertical="center" wrapText="1"/>
      <protection hidden="1"/>
    </xf>
    <xf numFmtId="164" fontId="10" fillId="2" borderId="0" xfId="0" applyNumberFormat="1" applyFont="1" applyFill="1" applyBorder="1" applyAlignment="1" applyProtection="1">
      <alignment horizontal="center"/>
      <protection hidden="1"/>
    </xf>
    <xf numFmtId="0" fontId="15" fillId="2" borderId="0" xfId="0" applyFont="1" applyFill="1" applyBorder="1" applyAlignment="1" applyProtection="1">
      <alignment horizontal="center"/>
      <protection hidden="1"/>
    </xf>
    <xf numFmtId="0" fontId="20" fillId="7" borderId="23" xfId="0" applyFont="1" applyFill="1" applyBorder="1" applyAlignment="1" applyProtection="1">
      <alignment horizontal="center" vertical="center"/>
      <protection hidden="1"/>
    </xf>
    <xf numFmtId="5" fontId="21" fillId="4" borderId="13" xfId="0" applyNumberFormat="1" applyFont="1" applyFill="1" applyBorder="1" applyAlignment="1" applyProtection="1">
      <alignment horizontal="center"/>
      <protection hidden="1"/>
    </xf>
    <xf numFmtId="5" fontId="20" fillId="4" borderId="13" xfId="3" applyNumberFormat="1" applyFont="1" applyFill="1" applyBorder="1" applyAlignment="1" applyProtection="1">
      <alignment horizontal="center"/>
      <protection hidden="1"/>
    </xf>
    <xf numFmtId="0" fontId="20" fillId="7" borderId="13" xfId="0" applyFont="1" applyFill="1" applyBorder="1" applyAlignment="1" applyProtection="1">
      <alignment horizontal="center" vertical="center" wrapText="1"/>
      <protection hidden="1"/>
    </xf>
    <xf numFmtId="0" fontId="20" fillId="7" borderId="16" xfId="0" applyFont="1" applyFill="1" applyBorder="1" applyAlignment="1" applyProtection="1">
      <alignment horizontal="center" vertical="center" wrapText="1"/>
      <protection hidden="1"/>
    </xf>
    <xf numFmtId="0" fontId="20" fillId="7" borderId="25" xfId="0" applyFont="1" applyFill="1" applyBorder="1" applyAlignment="1" applyProtection="1">
      <alignment horizontal="center" vertical="center" wrapText="1"/>
      <protection hidden="1"/>
    </xf>
    <xf numFmtId="14" fontId="21" fillId="7" borderId="17" xfId="0" applyNumberFormat="1" applyFont="1" applyFill="1" applyBorder="1" applyProtection="1">
      <protection hidden="1"/>
    </xf>
    <xf numFmtId="10" fontId="21" fillId="8" borderId="17" xfId="0" applyNumberFormat="1" applyFont="1" applyFill="1" applyBorder="1" applyAlignment="1" applyProtection="1">
      <alignment horizontal="center"/>
      <protection hidden="1"/>
    </xf>
    <xf numFmtId="10" fontId="20" fillId="7" borderId="17" xfId="4" applyNumberFormat="1" applyFont="1" applyFill="1" applyBorder="1" applyAlignment="1" applyProtection="1">
      <alignment horizontal="center"/>
      <protection hidden="1"/>
    </xf>
    <xf numFmtId="5" fontId="20" fillId="8" borderId="26" xfId="3" applyNumberFormat="1" applyFont="1" applyFill="1" applyBorder="1" applyAlignment="1" applyProtection="1">
      <alignment horizontal="center"/>
      <protection hidden="1"/>
    </xf>
    <xf numFmtId="5" fontId="20" fillId="8" borderId="17" xfId="3" applyNumberFormat="1" applyFont="1" applyFill="1" applyBorder="1" applyAlignment="1" applyProtection="1">
      <alignment horizontal="center"/>
      <protection hidden="1"/>
    </xf>
    <xf numFmtId="5" fontId="21" fillId="8" borderId="26" xfId="0" applyNumberFormat="1" applyFont="1" applyFill="1" applyBorder="1" applyAlignment="1" applyProtection="1">
      <alignment horizontal="center"/>
      <protection hidden="1"/>
    </xf>
    <xf numFmtId="14" fontId="18" fillId="0" borderId="0" xfId="0" applyNumberFormat="1" applyFont="1" applyFill="1" applyBorder="1" applyAlignment="1" applyProtection="1">
      <alignment horizontal="center"/>
      <protection hidden="1"/>
    </xf>
    <xf numFmtId="10" fontId="10" fillId="0" borderId="0" xfId="0" applyNumberFormat="1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5" fontId="10" fillId="0" borderId="0" xfId="0" applyNumberFormat="1" applyFont="1" applyFill="1" applyBorder="1" applyAlignment="1" applyProtection="1">
      <alignment horizontal="center"/>
      <protection hidden="1"/>
    </xf>
    <xf numFmtId="5" fontId="10" fillId="0" borderId="0" xfId="3" applyNumberFormat="1" applyFont="1" applyFill="1" applyBorder="1" applyAlignment="1" applyProtection="1">
      <alignment horizontal="center"/>
      <protection hidden="1"/>
    </xf>
    <xf numFmtId="167" fontId="10" fillId="0" borderId="0" xfId="0" applyNumberFormat="1" applyFont="1" applyFill="1" applyBorder="1" applyAlignment="1" applyProtection="1">
      <alignment horizontal="center"/>
      <protection hidden="1"/>
    </xf>
    <xf numFmtId="165" fontId="10" fillId="0" borderId="0" xfId="3" applyNumberFormat="1" applyFont="1" applyFill="1" applyBorder="1" applyAlignment="1" applyProtection="1">
      <alignment horizontal="center"/>
      <protection hidden="1"/>
    </xf>
    <xf numFmtId="10" fontId="20" fillId="7" borderId="22" xfId="4" applyNumberFormat="1" applyFont="1" applyFill="1" applyBorder="1" applyAlignment="1" applyProtection="1">
      <alignment horizontal="center"/>
      <protection hidden="1"/>
    </xf>
    <xf numFmtId="165" fontId="10" fillId="2" borderId="15" xfId="3" applyNumberFormat="1" applyFont="1" applyFill="1" applyBorder="1" applyProtection="1">
      <protection hidden="1"/>
    </xf>
    <xf numFmtId="6" fontId="15" fillId="9" borderId="0" xfId="3" applyNumberFormat="1" applyFont="1" applyFill="1" applyBorder="1" applyAlignment="1" applyProtection="1">
      <alignment horizontal="center"/>
      <protection locked="0"/>
    </xf>
    <xf numFmtId="10" fontId="15" fillId="9" borderId="0" xfId="4" applyNumberFormat="1" applyFont="1" applyFill="1" applyBorder="1" applyProtection="1">
      <protection locked="0"/>
    </xf>
    <xf numFmtId="167" fontId="15" fillId="10" borderId="0" xfId="4" applyNumberFormat="1" applyFont="1" applyFill="1" applyBorder="1" applyAlignment="1" applyProtection="1">
      <alignment horizontal="center"/>
      <protection locked="0"/>
    </xf>
    <xf numFmtId="167" fontId="15" fillId="3" borderId="0" xfId="4" applyNumberFormat="1" applyFont="1" applyFill="1" applyBorder="1" applyProtection="1">
      <protection hidden="1"/>
    </xf>
    <xf numFmtId="0" fontId="15" fillId="4" borderId="0" xfId="0" applyFont="1" applyFill="1" applyBorder="1" applyProtection="1">
      <protection hidden="1"/>
    </xf>
    <xf numFmtId="43" fontId="15" fillId="4" borderId="0" xfId="4" applyNumberFormat="1" applyFont="1" applyFill="1" applyBorder="1" applyProtection="1">
      <protection hidden="1"/>
    </xf>
    <xf numFmtId="0" fontId="15" fillId="3" borderId="0" xfId="0" applyFont="1" applyFill="1" applyBorder="1" applyAlignment="1" applyProtection="1">
      <alignment horizontal="left"/>
      <protection hidden="1"/>
    </xf>
    <xf numFmtId="10" fontId="15" fillId="4" borderId="0" xfId="0" applyNumberFormat="1" applyFont="1" applyFill="1" applyBorder="1" applyAlignment="1" applyProtection="1">
      <alignment horizontal="center"/>
      <protection hidden="1"/>
    </xf>
    <xf numFmtId="0" fontId="25" fillId="4" borderId="20" xfId="1" applyFont="1" applyFill="1" applyBorder="1" applyAlignment="1" applyProtection="1">
      <alignment horizontal="center" vertical="center" wrapText="1"/>
      <protection hidden="1"/>
    </xf>
    <xf numFmtId="0" fontId="25" fillId="4" borderId="22" xfId="1" applyFont="1" applyFill="1" applyBorder="1" applyAlignment="1" applyProtection="1">
      <alignment horizontal="center" vertical="center" wrapText="1"/>
      <protection hidden="1"/>
    </xf>
    <xf numFmtId="0" fontId="25" fillId="4" borderId="27" xfId="1" applyFont="1" applyFill="1" applyBorder="1" applyAlignment="1" applyProtection="1">
      <alignment horizontal="center" vertical="center" wrapText="1"/>
      <protection hidden="1"/>
    </xf>
    <xf numFmtId="0" fontId="25" fillId="4" borderId="17" xfId="1" applyFont="1" applyFill="1" applyBorder="1" applyAlignment="1" applyProtection="1">
      <alignment horizontal="center" vertical="center" wrapText="1"/>
      <protection hidden="1"/>
    </xf>
    <xf numFmtId="0" fontId="25" fillId="4" borderId="18" xfId="1" applyFont="1" applyFill="1" applyBorder="1" applyAlignment="1" applyProtection="1">
      <alignment horizontal="center" vertical="center" wrapText="1"/>
      <protection hidden="1"/>
    </xf>
    <xf numFmtId="0" fontId="25" fillId="4" borderId="21" xfId="1" applyFont="1" applyFill="1" applyBorder="1" applyAlignment="1" applyProtection="1">
      <alignment horizontal="center" vertical="center" wrapText="1"/>
      <protection hidden="1"/>
    </xf>
    <xf numFmtId="167" fontId="10" fillId="2" borderId="0" xfId="0" applyNumberFormat="1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7" fillId="5" borderId="0" xfId="0" applyFont="1" applyFill="1" applyAlignment="1" applyProtection="1">
      <alignment horizontal="center"/>
      <protection hidden="1"/>
    </xf>
    <xf numFmtId="0" fontId="4" fillId="5" borderId="0" xfId="0" applyFont="1" applyFill="1" applyProtection="1">
      <protection hidden="1"/>
    </xf>
    <xf numFmtId="0" fontId="4" fillId="5" borderId="0" xfId="0" applyFont="1" applyFill="1" applyBorder="1" applyProtection="1">
      <protection hidden="1"/>
    </xf>
    <xf numFmtId="0" fontId="2" fillId="5" borderId="0" xfId="0" applyFont="1" applyFill="1" applyProtection="1">
      <protection hidden="1"/>
    </xf>
    <xf numFmtId="0" fontId="7" fillId="5" borderId="0" xfId="0" applyFont="1" applyFill="1" applyAlignment="1" applyProtection="1">
      <alignment horizontal="center"/>
      <protection hidden="1"/>
    </xf>
    <xf numFmtId="0" fontId="2" fillId="2" borderId="1" xfId="0" applyFont="1" applyFill="1" applyBorder="1" applyProtection="1">
      <protection hidden="1"/>
    </xf>
    <xf numFmtId="16" fontId="4" fillId="5" borderId="0" xfId="0" applyNumberFormat="1" applyFont="1" applyFill="1" applyProtection="1">
      <protection hidden="1"/>
    </xf>
    <xf numFmtId="165" fontId="4" fillId="5" borderId="0" xfId="3" applyNumberFormat="1" applyFont="1" applyFill="1" applyProtection="1"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14" fontId="4" fillId="5" borderId="0" xfId="0" applyNumberFormat="1" applyFont="1" applyFill="1" applyProtection="1">
      <protection hidden="1"/>
    </xf>
    <xf numFmtId="0" fontId="7" fillId="5" borderId="0" xfId="0" applyFont="1" applyFill="1" applyBorder="1" applyAlignment="1" applyProtection="1">
      <alignment horizontal="center"/>
      <protection hidden="1"/>
    </xf>
    <xf numFmtId="0" fontId="7" fillId="5" borderId="0" xfId="0" applyFont="1" applyFill="1" applyBorder="1" applyAlignment="1" applyProtection="1">
      <alignment horizontal="center"/>
      <protection hidden="1"/>
    </xf>
    <xf numFmtId="10" fontId="3" fillId="2" borderId="0" xfId="4" applyNumberFormat="1" applyFont="1" applyFill="1" applyBorder="1" applyProtection="1">
      <protection hidden="1"/>
    </xf>
    <xf numFmtId="0" fontId="6" fillId="5" borderId="8" xfId="0" applyFont="1" applyFill="1" applyBorder="1" applyProtection="1">
      <protection hidden="1"/>
    </xf>
    <xf numFmtId="8" fontId="6" fillId="5" borderId="10" xfId="3" applyNumberFormat="1" applyFont="1" applyFill="1" applyBorder="1" applyAlignment="1" applyProtection="1">
      <protection hidden="1"/>
    </xf>
    <xf numFmtId="0" fontId="4" fillId="6" borderId="0" xfId="0" applyFont="1" applyFill="1" applyProtection="1">
      <protection hidden="1"/>
    </xf>
    <xf numFmtId="0" fontId="4" fillId="6" borderId="0" xfId="0" applyFont="1" applyFill="1" applyBorder="1" applyProtection="1">
      <protection hidden="1"/>
    </xf>
    <xf numFmtId="164" fontId="4" fillId="5" borderId="0" xfId="3" applyFont="1" applyFill="1" applyProtection="1">
      <protection hidden="1"/>
    </xf>
    <xf numFmtId="0" fontId="6" fillId="5" borderId="11" xfId="0" applyFont="1" applyFill="1" applyBorder="1" applyProtection="1">
      <protection hidden="1"/>
    </xf>
    <xf numFmtId="167" fontId="6" fillId="5" borderId="12" xfId="4" applyNumberFormat="1" applyFont="1" applyFill="1" applyBorder="1" applyProtection="1">
      <protection hidden="1"/>
    </xf>
    <xf numFmtId="167" fontId="8" fillId="6" borderId="0" xfId="4" applyNumberFormat="1" applyFont="1" applyFill="1" applyBorder="1" applyProtection="1">
      <protection hidden="1"/>
    </xf>
    <xf numFmtId="0" fontId="8" fillId="6" borderId="0" xfId="0" applyFont="1" applyFill="1" applyBorder="1" applyProtection="1">
      <protection hidden="1"/>
    </xf>
    <xf numFmtId="0" fontId="6" fillId="5" borderId="2" xfId="0" applyFont="1" applyFill="1" applyBorder="1" applyAlignment="1" applyProtection="1">
      <alignment horizontal="center"/>
      <protection hidden="1"/>
    </xf>
    <xf numFmtId="0" fontId="6" fillId="5" borderId="0" xfId="0" applyFont="1" applyFill="1" applyBorder="1" applyAlignment="1" applyProtection="1">
      <alignment horizontal="center"/>
      <protection hidden="1"/>
    </xf>
    <xf numFmtId="0" fontId="2" fillId="2" borderId="24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6" fillId="5" borderId="5" xfId="0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0" fontId="6" fillId="5" borderId="0" xfId="0" applyFont="1" applyFill="1" applyBorder="1" applyAlignment="1" applyProtection="1">
      <alignment horizontal="center" vertical="center" wrapText="1"/>
      <protection hidden="1"/>
    </xf>
    <xf numFmtId="164" fontId="2" fillId="2" borderId="0" xfId="0" applyNumberFormat="1" applyFont="1" applyFill="1" applyBorder="1" applyAlignment="1" applyProtection="1">
      <alignment horizontal="center"/>
      <protection hidden="1"/>
    </xf>
    <xf numFmtId="14" fontId="4" fillId="6" borderId="5" xfId="0" applyNumberFormat="1" applyFont="1" applyFill="1" applyBorder="1" applyAlignment="1" applyProtection="1">
      <alignment horizontal="center"/>
      <protection hidden="1"/>
    </xf>
    <xf numFmtId="0" fontId="4" fillId="5" borderId="5" xfId="0" applyFont="1" applyFill="1" applyBorder="1" applyProtection="1">
      <protection hidden="1"/>
    </xf>
    <xf numFmtId="14" fontId="4" fillId="5" borderId="5" xfId="0" applyNumberFormat="1" applyFont="1" applyFill="1" applyBorder="1" applyProtection="1">
      <protection hidden="1"/>
    </xf>
    <xf numFmtId="14" fontId="4" fillId="5" borderId="7" xfId="0" applyNumberFormat="1" applyFont="1" applyFill="1" applyBorder="1" applyProtection="1">
      <protection hidden="1"/>
    </xf>
    <xf numFmtId="14" fontId="4" fillId="6" borderId="7" xfId="0" applyNumberFormat="1" applyFont="1" applyFill="1" applyBorder="1" applyAlignment="1" applyProtection="1">
      <alignment horizontal="center"/>
      <protection hidden="1"/>
    </xf>
    <xf numFmtId="0" fontId="4" fillId="6" borderId="0" xfId="0" applyNumberFormat="1" applyFont="1" applyFill="1" applyBorder="1" applyAlignment="1" applyProtection="1">
      <alignment horizontal="center"/>
      <protection hidden="1"/>
    </xf>
    <xf numFmtId="14" fontId="4" fillId="6" borderId="0" xfId="0" applyNumberFormat="1" applyFont="1" applyFill="1" applyBorder="1" applyAlignment="1" applyProtection="1">
      <alignment horizontal="center"/>
      <protection hidden="1"/>
    </xf>
    <xf numFmtId="164" fontId="2" fillId="2" borderId="1" xfId="3" applyFont="1" applyFill="1" applyBorder="1" applyProtection="1">
      <protection hidden="1"/>
    </xf>
    <xf numFmtId="10" fontId="10" fillId="2" borderId="0" xfId="0" applyNumberFormat="1" applyFont="1" applyFill="1" applyBorder="1" applyAlignment="1" applyProtection="1">
      <alignment horizontal="center"/>
      <protection hidden="1"/>
    </xf>
    <xf numFmtId="165" fontId="2" fillId="2" borderId="0" xfId="0" applyNumberFormat="1" applyFont="1" applyFill="1" applyBorder="1" applyAlignment="1" applyProtection="1">
      <alignment horizontal="right"/>
      <protection hidden="1"/>
    </xf>
    <xf numFmtId="14" fontId="4" fillId="6" borderId="3" xfId="0" applyNumberFormat="1" applyFont="1" applyFill="1" applyBorder="1" applyAlignment="1" applyProtection="1">
      <alignment horizontal="center"/>
      <protection hidden="1"/>
    </xf>
    <xf numFmtId="165" fontId="4" fillId="5" borderId="3" xfId="3" applyNumberFormat="1" applyFont="1" applyFill="1" applyBorder="1" applyProtection="1">
      <protection hidden="1"/>
    </xf>
    <xf numFmtId="14" fontId="4" fillId="5" borderId="3" xfId="0" applyNumberFormat="1" applyFont="1" applyFill="1" applyBorder="1" applyProtection="1">
      <protection hidden="1"/>
    </xf>
    <xf numFmtId="0" fontId="4" fillId="5" borderId="3" xfId="0" applyNumberFormat="1" applyFont="1" applyFill="1" applyBorder="1" applyAlignment="1" applyProtection="1">
      <alignment horizontal="center"/>
      <protection hidden="1"/>
    </xf>
    <xf numFmtId="5" fontId="4" fillId="6" borderId="3" xfId="3" applyNumberFormat="1" applyFont="1" applyFill="1" applyBorder="1" applyAlignment="1" applyProtection="1">
      <alignment horizontal="center"/>
      <protection hidden="1"/>
    </xf>
    <xf numFmtId="5" fontId="4" fillId="6" borderId="0" xfId="3" applyNumberFormat="1" applyFont="1" applyFill="1" applyBorder="1" applyAlignment="1" applyProtection="1">
      <alignment horizontal="center"/>
      <protection hidden="1"/>
    </xf>
    <xf numFmtId="14" fontId="4" fillId="6" borderId="6" xfId="0" applyNumberFormat="1" applyFont="1" applyFill="1" applyBorder="1" applyAlignment="1" applyProtection="1">
      <alignment horizontal="center"/>
      <protection hidden="1"/>
    </xf>
    <xf numFmtId="169" fontId="4" fillId="5" borderId="0" xfId="0" applyNumberFormat="1" applyFont="1" applyFill="1" applyProtection="1">
      <protection hidden="1"/>
    </xf>
    <xf numFmtId="14" fontId="4" fillId="6" borderId="9" xfId="0" applyNumberFormat="1" applyFont="1" applyFill="1" applyBorder="1" applyAlignment="1" applyProtection="1">
      <alignment horizontal="center"/>
      <protection hidden="1"/>
    </xf>
    <xf numFmtId="165" fontId="4" fillId="5" borderId="4" xfId="3" applyNumberFormat="1" applyFont="1" applyFill="1" applyBorder="1" applyProtection="1">
      <protection hidden="1"/>
    </xf>
    <xf numFmtId="14" fontId="4" fillId="5" borderId="4" xfId="0" applyNumberFormat="1" applyFont="1" applyFill="1" applyBorder="1" applyProtection="1">
      <protection hidden="1"/>
    </xf>
    <xf numFmtId="0" fontId="4" fillId="5" borderId="4" xfId="0" applyNumberFormat="1" applyFont="1" applyFill="1" applyBorder="1" applyAlignment="1" applyProtection="1">
      <alignment horizontal="center"/>
      <protection hidden="1"/>
    </xf>
    <xf numFmtId="5" fontId="4" fillId="6" borderId="4" xfId="3" applyNumberFormat="1" applyFont="1" applyFill="1" applyBorder="1" applyAlignment="1" applyProtection="1">
      <alignment horizontal="center"/>
      <protection hidden="1"/>
    </xf>
    <xf numFmtId="165" fontId="6" fillId="5" borderId="2" xfId="3" applyNumberFormat="1" applyFont="1" applyFill="1" applyBorder="1" applyProtection="1">
      <protection hidden="1"/>
    </xf>
    <xf numFmtId="164" fontId="4" fillId="5" borderId="0" xfId="3" applyFont="1" applyFill="1" applyBorder="1" applyProtection="1">
      <protection hidden="1"/>
    </xf>
    <xf numFmtId="14" fontId="1" fillId="2" borderId="0" xfId="0" applyNumberFormat="1" applyFont="1" applyFill="1" applyBorder="1" applyProtection="1">
      <protection hidden="1"/>
    </xf>
    <xf numFmtId="10" fontId="1" fillId="0" borderId="0" xfId="0" applyNumberFormat="1" applyFont="1" applyFill="1" applyBorder="1" applyAlignment="1" applyProtection="1">
      <alignment horizontal="center"/>
      <protection hidden="1"/>
    </xf>
    <xf numFmtId="10" fontId="3" fillId="2" borderId="0" xfId="4" applyNumberFormat="1" applyFont="1" applyFill="1" applyBorder="1" applyAlignment="1" applyProtection="1">
      <alignment horizontal="center"/>
      <protection hidden="1"/>
    </xf>
    <xf numFmtId="165" fontId="3" fillId="0" borderId="0" xfId="3" applyNumberFormat="1" applyFont="1" applyFill="1" applyBorder="1" applyAlignment="1" applyProtection="1">
      <alignment horizontal="center"/>
      <protection hidden="1"/>
    </xf>
    <xf numFmtId="165" fontId="1" fillId="0" borderId="0" xfId="0" applyNumberFormat="1" applyFont="1" applyFill="1" applyBorder="1" applyAlignment="1" applyProtection="1">
      <alignment horizontal="right"/>
      <protection hidden="1"/>
    </xf>
    <xf numFmtId="2" fontId="4" fillId="5" borderId="0" xfId="0" applyNumberFormat="1" applyFont="1" applyFill="1" applyAlignment="1" applyProtection="1">
      <alignment horizontal="center"/>
      <protection hidden="1"/>
    </xf>
    <xf numFmtId="5" fontId="4" fillId="5" borderId="0" xfId="0" applyNumberFormat="1" applyFont="1" applyFill="1" applyProtection="1">
      <protection hidden="1"/>
    </xf>
    <xf numFmtId="0" fontId="1" fillId="2" borderId="0" xfId="0" applyFont="1" applyFill="1" applyBorder="1" applyProtection="1">
      <protection hidden="1"/>
    </xf>
    <xf numFmtId="5" fontId="6" fillId="5" borderId="0" xfId="0" applyNumberFormat="1" applyFont="1" applyFill="1" applyAlignment="1" applyProtection="1">
      <alignment horizontal="center"/>
      <protection hidden="1"/>
    </xf>
    <xf numFmtId="2" fontId="6" fillId="5" borderId="2" xfId="0" applyNumberFormat="1" applyFont="1" applyFill="1" applyBorder="1" applyAlignment="1" applyProtection="1">
      <alignment horizontal="center"/>
      <protection hidden="1"/>
    </xf>
    <xf numFmtId="5" fontId="4" fillId="5" borderId="0" xfId="0" applyNumberFormat="1" applyFont="1" applyFill="1" applyBorder="1" applyProtection="1">
      <protection hidden="1"/>
    </xf>
    <xf numFmtId="10" fontId="10" fillId="4" borderId="0" xfId="0" applyNumberFormat="1" applyFont="1" applyFill="1" applyBorder="1" applyProtection="1">
      <protection hidden="1"/>
    </xf>
    <xf numFmtId="0" fontId="10" fillId="4" borderId="0" xfId="0" applyFont="1" applyFill="1" applyBorder="1" applyProtection="1">
      <protection hidden="1"/>
    </xf>
    <xf numFmtId="5" fontId="10" fillId="4" borderId="0" xfId="0" applyNumberFormat="1" applyFont="1" applyFill="1" applyBorder="1" applyAlignment="1" applyProtection="1">
      <alignment horizontal="center"/>
      <protection hidden="1"/>
    </xf>
    <xf numFmtId="10" fontId="10" fillId="3" borderId="0" xfId="0" applyNumberFormat="1" applyFont="1" applyFill="1" applyBorder="1" applyAlignment="1" applyProtection="1">
      <alignment horizontal="center"/>
      <protection hidden="1"/>
    </xf>
    <xf numFmtId="10" fontId="10" fillId="4" borderId="0" xfId="4" applyNumberFormat="1" applyFont="1" applyFill="1" applyBorder="1" applyAlignment="1" applyProtection="1">
      <alignment horizontal="center"/>
      <protection hidden="1"/>
    </xf>
    <xf numFmtId="165" fontId="3" fillId="2" borderId="0" xfId="3" applyNumberFormat="1" applyFont="1" applyFill="1" applyProtection="1">
      <protection hidden="1"/>
    </xf>
    <xf numFmtId="10" fontId="2" fillId="2" borderId="0" xfId="4" applyNumberFormat="1" applyFont="1" applyFill="1" applyProtection="1">
      <protection hidden="1"/>
    </xf>
    <xf numFmtId="165" fontId="2" fillId="2" borderId="0" xfId="3" applyNumberFormat="1" applyFont="1" applyFill="1" applyProtection="1">
      <protection hidden="1"/>
    </xf>
    <xf numFmtId="43" fontId="2" fillId="2" borderId="0" xfId="0" applyNumberFormat="1" applyFont="1" applyFill="1" applyProtection="1">
      <protection hidden="1"/>
    </xf>
    <xf numFmtId="164" fontId="2" fillId="2" borderId="0" xfId="3" applyFont="1" applyFill="1" applyProtection="1">
      <protection hidden="1"/>
    </xf>
    <xf numFmtId="165" fontId="12" fillId="5" borderId="0" xfId="3" applyNumberFormat="1" applyFont="1" applyFill="1" applyProtection="1">
      <protection hidden="1"/>
    </xf>
    <xf numFmtId="0" fontId="11" fillId="5" borderId="0" xfId="0" applyFont="1" applyFill="1" applyBorder="1" applyAlignment="1" applyProtection="1">
      <alignment horizontal="center"/>
      <protection hidden="1"/>
    </xf>
    <xf numFmtId="0" fontId="11" fillId="5" borderId="0" xfId="0" applyFont="1" applyFill="1" applyBorder="1" applyAlignment="1" applyProtection="1">
      <alignment horizontal="center"/>
      <protection hidden="1"/>
    </xf>
    <xf numFmtId="0" fontId="14" fillId="5" borderId="8" xfId="0" applyFont="1" applyFill="1" applyBorder="1" applyProtection="1">
      <protection hidden="1"/>
    </xf>
    <xf numFmtId="8" fontId="14" fillId="5" borderId="10" xfId="3" applyNumberFormat="1" applyFont="1" applyFill="1" applyBorder="1" applyAlignment="1" applyProtection="1">
      <protection hidden="1"/>
    </xf>
    <xf numFmtId="0" fontId="12" fillId="6" borderId="0" xfId="0" applyFont="1" applyFill="1" applyProtection="1">
      <protection hidden="1"/>
    </xf>
    <xf numFmtId="0" fontId="12" fillId="6" borderId="0" xfId="0" applyFont="1" applyFill="1" applyBorder="1" applyProtection="1">
      <protection hidden="1"/>
    </xf>
    <xf numFmtId="164" fontId="12" fillId="5" borderId="0" xfId="3" applyFont="1" applyFill="1" applyProtection="1">
      <protection hidden="1"/>
    </xf>
    <xf numFmtId="0" fontId="14" fillId="5" borderId="11" xfId="0" applyFont="1" applyFill="1" applyBorder="1" applyProtection="1">
      <protection hidden="1"/>
    </xf>
    <xf numFmtId="167" fontId="14" fillId="5" borderId="12" xfId="4" applyNumberFormat="1" applyFont="1" applyFill="1" applyBorder="1" applyProtection="1">
      <protection hidden="1"/>
    </xf>
    <xf numFmtId="167" fontId="16" fillId="6" borderId="0" xfId="4" applyNumberFormat="1" applyFont="1" applyFill="1" applyBorder="1" applyProtection="1">
      <protection hidden="1"/>
    </xf>
    <xf numFmtId="0" fontId="16" fillId="6" borderId="0" xfId="0" applyFont="1" applyFill="1" applyBorder="1" applyProtection="1">
      <protection hidden="1"/>
    </xf>
    <xf numFmtId="0" fontId="14" fillId="5" borderId="2" xfId="0" applyFont="1" applyFill="1" applyBorder="1" applyAlignment="1" applyProtection="1">
      <alignment horizontal="center"/>
      <protection hidden="1"/>
    </xf>
    <xf numFmtId="0" fontId="14" fillId="5" borderId="0" xfId="0" applyFont="1" applyFill="1" applyBorder="1" applyAlignment="1" applyProtection="1">
      <alignment horizontal="center"/>
      <protection hidden="1"/>
    </xf>
    <xf numFmtId="0" fontId="14" fillId="5" borderId="5" xfId="0" applyFont="1" applyFill="1" applyBorder="1" applyAlignment="1" applyProtection="1">
      <alignment horizontal="center" vertical="center" wrapText="1"/>
      <protection hidden="1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14" fontId="12" fillId="6" borderId="7" xfId="0" applyNumberFormat="1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Protection="1">
      <protection hidden="1"/>
    </xf>
    <xf numFmtId="14" fontId="12" fillId="5" borderId="5" xfId="0" applyNumberFormat="1" applyFont="1" applyFill="1" applyBorder="1" applyProtection="1">
      <protection hidden="1"/>
    </xf>
    <xf numFmtId="14" fontId="12" fillId="5" borderId="7" xfId="0" applyNumberFormat="1" applyFont="1" applyFill="1" applyBorder="1" applyProtection="1">
      <protection hidden="1"/>
    </xf>
    <xf numFmtId="14" fontId="12" fillId="6" borderId="5" xfId="0" applyNumberFormat="1" applyFont="1" applyFill="1" applyBorder="1" applyAlignment="1" applyProtection="1">
      <alignment horizontal="center"/>
      <protection hidden="1"/>
    </xf>
    <xf numFmtId="0" fontId="12" fillId="6" borderId="0" xfId="0" applyNumberFormat="1" applyFont="1" applyFill="1" applyBorder="1" applyAlignment="1" applyProtection="1">
      <alignment horizontal="center"/>
      <protection hidden="1"/>
    </xf>
    <xf numFmtId="14" fontId="12" fillId="6" borderId="0" xfId="0" applyNumberFormat="1" applyFont="1" applyFill="1" applyBorder="1" applyAlignment="1" applyProtection="1">
      <alignment horizontal="center"/>
      <protection hidden="1"/>
    </xf>
    <xf numFmtId="14" fontId="12" fillId="6" borderId="6" xfId="0" applyNumberFormat="1" applyFont="1" applyFill="1" applyBorder="1" applyAlignment="1" applyProtection="1">
      <alignment horizontal="center"/>
      <protection hidden="1"/>
    </xf>
    <xf numFmtId="165" fontId="12" fillId="5" borderId="3" xfId="3" applyNumberFormat="1" applyFont="1" applyFill="1" applyBorder="1" applyProtection="1">
      <protection hidden="1"/>
    </xf>
    <xf numFmtId="14" fontId="12" fillId="5" borderId="3" xfId="0" applyNumberFormat="1" applyFont="1" applyFill="1" applyBorder="1" applyProtection="1">
      <protection hidden="1"/>
    </xf>
    <xf numFmtId="0" fontId="12" fillId="5" borderId="3" xfId="0" applyNumberFormat="1" applyFont="1" applyFill="1" applyBorder="1" applyAlignment="1" applyProtection="1">
      <alignment horizontal="center"/>
      <protection hidden="1"/>
    </xf>
    <xf numFmtId="5" fontId="12" fillId="6" borderId="3" xfId="3" applyNumberFormat="1" applyFont="1" applyFill="1" applyBorder="1" applyAlignment="1" applyProtection="1">
      <alignment horizontal="center"/>
      <protection hidden="1"/>
    </xf>
    <xf numFmtId="5" fontId="12" fillId="6" borderId="0" xfId="3" applyNumberFormat="1" applyFont="1" applyFill="1" applyBorder="1" applyAlignment="1" applyProtection="1">
      <alignment horizontal="center"/>
      <protection hidden="1"/>
    </xf>
    <xf numFmtId="169" fontId="12" fillId="5" borderId="0" xfId="0" applyNumberFormat="1" applyFont="1" applyFill="1" applyProtection="1">
      <protection hidden="1"/>
    </xf>
    <xf numFmtId="14" fontId="12" fillId="6" borderId="9" xfId="0" applyNumberFormat="1" applyFont="1" applyFill="1" applyBorder="1" applyAlignment="1" applyProtection="1">
      <alignment horizontal="center"/>
      <protection hidden="1"/>
    </xf>
    <xf numFmtId="165" fontId="12" fillId="5" borderId="4" xfId="3" applyNumberFormat="1" applyFont="1" applyFill="1" applyBorder="1" applyProtection="1">
      <protection hidden="1"/>
    </xf>
    <xf numFmtId="14" fontId="12" fillId="5" borderId="4" xfId="0" applyNumberFormat="1" applyFont="1" applyFill="1" applyBorder="1" applyProtection="1">
      <protection hidden="1"/>
    </xf>
    <xf numFmtId="0" fontId="12" fillId="5" borderId="4" xfId="0" applyNumberFormat="1" applyFont="1" applyFill="1" applyBorder="1" applyAlignment="1" applyProtection="1">
      <alignment horizontal="center"/>
      <protection hidden="1"/>
    </xf>
    <xf numFmtId="5" fontId="12" fillId="6" borderId="4" xfId="3" applyNumberFormat="1" applyFont="1" applyFill="1" applyBorder="1" applyAlignment="1" applyProtection="1">
      <alignment horizontal="center"/>
      <protection hidden="1"/>
    </xf>
    <xf numFmtId="165" fontId="14" fillId="5" borderId="2" xfId="3" applyNumberFormat="1" applyFont="1" applyFill="1" applyBorder="1" applyProtection="1">
      <protection hidden="1"/>
    </xf>
    <xf numFmtId="164" fontId="12" fillId="5" borderId="0" xfId="3" applyFont="1" applyFill="1" applyBorder="1" applyProtection="1">
      <protection hidden="1"/>
    </xf>
    <xf numFmtId="14" fontId="10" fillId="2" borderId="0" xfId="0" applyNumberFormat="1" applyFont="1" applyFill="1" applyProtection="1">
      <protection hidden="1"/>
    </xf>
    <xf numFmtId="165" fontId="10" fillId="2" borderId="0" xfId="3" applyNumberFormat="1" applyFont="1" applyFill="1" applyProtection="1">
      <protection hidden="1"/>
    </xf>
    <xf numFmtId="2" fontId="12" fillId="5" borderId="0" xfId="0" applyNumberFormat="1" applyFont="1" applyFill="1" applyAlignment="1" applyProtection="1">
      <alignment horizontal="center"/>
      <protection hidden="1"/>
    </xf>
    <xf numFmtId="5" fontId="14" fillId="5" borderId="0" xfId="0" applyNumberFormat="1" applyFont="1" applyFill="1" applyAlignment="1" applyProtection="1">
      <alignment horizontal="center"/>
      <protection hidden="1"/>
    </xf>
    <xf numFmtId="2" fontId="14" fillId="5" borderId="2" xfId="0" applyNumberFormat="1" applyFont="1" applyFill="1" applyBorder="1" applyAlignment="1" applyProtection="1">
      <alignment horizontal="center"/>
      <protection hidden="1"/>
    </xf>
    <xf numFmtId="164" fontId="10" fillId="2" borderId="0" xfId="3" applyFont="1" applyFill="1" applyProtection="1">
      <protection hidden="1"/>
    </xf>
  </cellXfs>
  <cellStyles count="5">
    <cellStyle name="=C:\WINNT\SYSTEM32\COMMAND.COM" xfId="1"/>
    <cellStyle name="Euro" xfId="2"/>
    <cellStyle name="Millares" xfId="3" builtinId="3"/>
    <cellStyle name="Normal" xfId="0" builtinId="0"/>
    <cellStyle name="Porcentual" xfId="4" builtinId="5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0</xdr:row>
      <xdr:rowOff>0</xdr:rowOff>
    </xdr:from>
    <xdr:to>
      <xdr:col>4</xdr:col>
      <xdr:colOff>550068</xdr:colOff>
      <xdr:row>3</xdr:row>
      <xdr:rowOff>123825</xdr:rowOff>
    </xdr:to>
    <xdr:pic>
      <xdr:nvPicPr>
        <xdr:cNvPr id="3" name="1 Imagen" descr="pi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7039" b="30556"/>
        <a:stretch>
          <a:fillRect/>
        </a:stretch>
      </xdr:blipFill>
      <xdr:spPr bwMode="auto">
        <a:xfrm>
          <a:off x="1533525" y="0"/>
          <a:ext cx="2216943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57150</xdr:colOff>
      <xdr:row>0</xdr:row>
      <xdr:rowOff>142875</xdr:rowOff>
    </xdr:from>
    <xdr:to>
      <xdr:col>6</xdr:col>
      <xdr:colOff>438150</xdr:colOff>
      <xdr:row>4</xdr:row>
      <xdr:rowOff>66675</xdr:rowOff>
    </xdr:to>
    <xdr:pic>
      <xdr:nvPicPr>
        <xdr:cNvPr id="4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9600" y="142875"/>
          <a:ext cx="1543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0</xdr:row>
      <xdr:rowOff>0</xdr:rowOff>
    </xdr:from>
    <xdr:to>
      <xdr:col>4</xdr:col>
      <xdr:colOff>816768</xdr:colOff>
      <xdr:row>3</xdr:row>
      <xdr:rowOff>123825</xdr:rowOff>
    </xdr:to>
    <xdr:pic>
      <xdr:nvPicPr>
        <xdr:cNvPr id="2" name="1 Imagen" descr="pi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7039" b="30556"/>
        <a:stretch>
          <a:fillRect/>
        </a:stretch>
      </xdr:blipFill>
      <xdr:spPr bwMode="auto">
        <a:xfrm>
          <a:off x="1676400" y="0"/>
          <a:ext cx="2216943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57150</xdr:colOff>
      <xdr:row>0</xdr:row>
      <xdr:rowOff>104775</xdr:rowOff>
    </xdr:from>
    <xdr:to>
      <xdr:col>6</xdr:col>
      <xdr:colOff>438150</xdr:colOff>
      <xdr:row>4</xdr:row>
      <xdr:rowOff>28575</xdr:rowOff>
    </xdr:to>
    <xdr:pic>
      <xdr:nvPicPr>
        <xdr:cNvPr id="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5775" y="104775"/>
          <a:ext cx="1543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47625</xdr:rowOff>
    </xdr:from>
    <xdr:to>
      <xdr:col>4</xdr:col>
      <xdr:colOff>616743</xdr:colOff>
      <xdr:row>4</xdr:row>
      <xdr:rowOff>9525</xdr:rowOff>
    </xdr:to>
    <xdr:pic>
      <xdr:nvPicPr>
        <xdr:cNvPr id="2" name="1 Imagen" descr="pi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7039" b="30556"/>
        <a:stretch>
          <a:fillRect/>
        </a:stretch>
      </xdr:blipFill>
      <xdr:spPr bwMode="auto">
        <a:xfrm>
          <a:off x="1476375" y="47625"/>
          <a:ext cx="2216943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0</xdr:row>
      <xdr:rowOff>142875</xdr:rowOff>
    </xdr:from>
    <xdr:to>
      <xdr:col>6</xdr:col>
      <xdr:colOff>419100</xdr:colOff>
      <xdr:row>4</xdr:row>
      <xdr:rowOff>66675</xdr:rowOff>
    </xdr:to>
    <xdr:pic>
      <xdr:nvPicPr>
        <xdr:cNvPr id="3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76725" y="142875"/>
          <a:ext cx="1543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A65"/>
  <sheetViews>
    <sheetView showGridLines="0" workbookViewId="0">
      <selection activeCell="F65" sqref="F65"/>
    </sheetView>
  </sheetViews>
  <sheetFormatPr baseColWidth="10" defaultColWidth="0" defaultRowHeight="12.75" zeroHeight="1"/>
  <cols>
    <col min="1" max="1" width="2.42578125" style="3" customWidth="1"/>
    <col min="2" max="2" width="10.7109375" style="3" bestFit="1" customWidth="1"/>
    <col min="3" max="7" width="17.42578125" style="3" customWidth="1"/>
    <col min="8" max="8" width="19.7109375" style="3" customWidth="1"/>
    <col min="9" max="9" width="3.42578125" style="3" customWidth="1"/>
    <col min="10" max="10" width="1.140625" style="3" customWidth="1"/>
    <col min="11" max="11" width="9.85546875" style="5" hidden="1" customWidth="1"/>
    <col min="12" max="12" width="14" style="5" hidden="1" customWidth="1"/>
    <col min="13" max="13" width="14.42578125" style="5" hidden="1" customWidth="1"/>
    <col min="14" max="14" width="12.28515625" style="5" hidden="1" customWidth="1"/>
    <col min="15" max="15" width="13.5703125" style="5" hidden="1" customWidth="1"/>
    <col min="16" max="17" width="11.7109375" style="5" hidden="1" customWidth="1"/>
    <col min="18" max="18" width="15.28515625" style="5" hidden="1" customWidth="1"/>
    <col min="19" max="19" width="16.85546875" style="5" hidden="1" customWidth="1"/>
    <col min="20" max="20" width="6.140625" style="6" hidden="1" customWidth="1"/>
    <col min="21" max="21" width="11.7109375" style="7" hidden="1"/>
    <col min="22" max="22" width="13.85546875" style="8" hidden="1"/>
    <col min="23" max="23" width="14.42578125" style="7" hidden="1"/>
    <col min="24" max="25" width="11.7109375" style="7" hidden="1"/>
    <col min="26" max="26" width="12.28515625" style="7" hidden="1"/>
    <col min="27" max="27" width="12.5703125" style="9" hidden="1"/>
    <col min="28" max="16384" width="11.42578125" style="3" hidden="1"/>
  </cols>
  <sheetData>
    <row r="1" spans="1:27">
      <c r="A1" s="2"/>
      <c r="B1" s="2"/>
      <c r="C1" s="2"/>
      <c r="D1" s="2"/>
      <c r="E1" s="2"/>
      <c r="F1" s="2"/>
      <c r="G1" s="2"/>
      <c r="I1" s="2"/>
      <c r="K1" s="4"/>
      <c r="L1" s="4"/>
      <c r="M1" s="4"/>
      <c r="N1" s="4"/>
    </row>
    <row r="2" spans="1:27">
      <c r="A2" s="2"/>
      <c r="B2" s="2"/>
      <c r="C2" s="2"/>
      <c r="D2" s="2"/>
      <c r="E2" s="2"/>
      <c r="F2" s="2"/>
      <c r="G2" s="2"/>
      <c r="I2" s="2"/>
      <c r="K2" s="10"/>
      <c r="L2" s="10"/>
      <c r="M2" s="10"/>
      <c r="N2" s="10"/>
    </row>
    <row r="3" spans="1:27">
      <c r="A3" s="2"/>
      <c r="B3" s="2"/>
      <c r="C3" s="2"/>
      <c r="D3" s="2"/>
      <c r="E3" s="2"/>
      <c r="F3" s="2"/>
      <c r="G3" s="2"/>
      <c r="I3" s="2"/>
      <c r="K3" s="10"/>
      <c r="L3" s="10"/>
      <c r="M3" s="10"/>
      <c r="N3" s="10"/>
    </row>
    <row r="4" spans="1:27">
      <c r="A4" s="2"/>
      <c r="B4" s="2"/>
      <c r="C4" s="2"/>
      <c r="D4" s="2"/>
      <c r="E4" s="2"/>
      <c r="F4" s="2"/>
      <c r="G4" s="2"/>
      <c r="I4" s="2"/>
      <c r="K4" s="10"/>
      <c r="L4" s="10"/>
      <c r="M4" s="10"/>
      <c r="N4" s="10"/>
    </row>
    <row r="5" spans="1:27">
      <c r="A5" s="2"/>
      <c r="B5" s="2"/>
      <c r="C5" s="2"/>
      <c r="D5" s="2"/>
      <c r="E5" s="2"/>
      <c r="F5" s="2"/>
      <c r="G5" s="2"/>
      <c r="I5" s="2"/>
      <c r="K5" s="10"/>
      <c r="L5" s="10"/>
      <c r="M5" s="10"/>
      <c r="N5" s="10"/>
    </row>
    <row r="6" spans="1:27" ht="23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2"/>
      <c r="L6" s="13"/>
    </row>
    <row r="7" spans="1:27" ht="15.75">
      <c r="A7" s="14"/>
      <c r="B7" s="15"/>
      <c r="C7" s="15"/>
      <c r="D7" s="15"/>
      <c r="E7" s="15"/>
      <c r="F7" s="15"/>
      <c r="G7" s="15"/>
      <c r="H7" s="15"/>
      <c r="I7" s="15"/>
      <c r="J7" s="2"/>
      <c r="K7" s="16"/>
    </row>
    <row r="8" spans="1:27">
      <c r="A8" s="17"/>
      <c r="B8" s="2"/>
      <c r="C8" s="37" t="s">
        <v>13</v>
      </c>
      <c r="D8" s="133">
        <v>53057730</v>
      </c>
      <c r="E8" s="18"/>
      <c r="F8" s="37" t="s">
        <v>15</v>
      </c>
      <c r="G8" s="134">
        <v>0.73</v>
      </c>
      <c r="H8" s="2"/>
      <c r="I8" s="2"/>
      <c r="J8" s="2"/>
      <c r="K8" s="3"/>
      <c r="L8" s="3"/>
      <c r="M8" s="3"/>
      <c r="N8" s="3"/>
      <c r="O8" s="3"/>
      <c r="P8" s="3"/>
      <c r="Q8" s="3"/>
      <c r="R8" s="3"/>
      <c r="S8" s="3"/>
      <c r="T8" s="3"/>
      <c r="U8" s="9"/>
      <c r="V8" s="19"/>
      <c r="W8" s="9"/>
      <c r="X8" s="9"/>
      <c r="Y8" s="9"/>
      <c r="Z8" s="9"/>
    </row>
    <row r="9" spans="1:27">
      <c r="A9" s="17"/>
      <c r="B9" s="2"/>
      <c r="C9" s="37" t="s">
        <v>14</v>
      </c>
      <c r="D9" s="135">
        <v>0.5</v>
      </c>
      <c r="E9" s="18"/>
      <c r="F9" s="37" t="s">
        <v>8</v>
      </c>
      <c r="G9" s="136">
        <f>+XNPV(G8,G34:G43,B34:B43)/H34</f>
        <v>0.88058425953013297</v>
      </c>
      <c r="H9" s="20"/>
      <c r="I9" s="2"/>
      <c r="J9" s="2"/>
      <c r="K9" s="21"/>
      <c r="L9" s="21"/>
      <c r="M9" s="21"/>
      <c r="N9" s="21"/>
      <c r="O9" s="21"/>
      <c r="P9" s="21"/>
      <c r="Q9" s="21"/>
      <c r="R9" s="21"/>
      <c r="S9" s="21"/>
      <c r="T9" s="21"/>
      <c r="U9" s="18"/>
      <c r="V9" s="22"/>
      <c r="W9" s="9"/>
      <c r="X9" s="9"/>
      <c r="Y9" s="9"/>
      <c r="Z9" s="9"/>
    </row>
    <row r="10" spans="1:27">
      <c r="A10" s="17"/>
      <c r="B10" s="2"/>
      <c r="C10" s="37" t="s">
        <v>10</v>
      </c>
      <c r="D10" s="38">
        <v>0.02</v>
      </c>
      <c r="E10" s="18"/>
      <c r="F10" s="137" t="s">
        <v>11</v>
      </c>
      <c r="G10" s="138">
        <f>+S30</f>
        <v>5.1075633910651552</v>
      </c>
      <c r="H10" s="23"/>
      <c r="I10" s="24"/>
      <c r="K10" s="21"/>
      <c r="L10" s="25"/>
      <c r="M10" s="25"/>
      <c r="N10" s="26" t="s">
        <v>13</v>
      </c>
      <c r="O10" s="27">
        <f>+D8</f>
        <v>53057730</v>
      </c>
      <c r="P10" s="28"/>
      <c r="Q10" s="28"/>
      <c r="R10" s="28"/>
      <c r="S10" s="28"/>
      <c r="T10" s="29"/>
      <c r="U10" s="18"/>
      <c r="V10" s="22"/>
      <c r="W10" s="30"/>
      <c r="X10" s="9"/>
      <c r="Y10" s="9"/>
      <c r="Z10" s="9"/>
    </row>
    <row r="11" spans="1:27">
      <c r="A11" s="17"/>
      <c r="B11" s="2"/>
      <c r="C11" s="139" t="s">
        <v>1</v>
      </c>
      <c r="D11" s="140">
        <f>+D9+D10</f>
        <v>0.52</v>
      </c>
      <c r="E11" s="18"/>
      <c r="F11" s="37" t="s">
        <v>12</v>
      </c>
      <c r="G11" s="40">
        <f>+XIRR(G18:G27,B18:B27)</f>
        <v>0.87587033510208134</v>
      </c>
      <c r="H11" s="31"/>
      <c r="I11" s="2"/>
      <c r="J11" s="2"/>
      <c r="K11" s="21"/>
      <c r="L11" s="25"/>
      <c r="M11" s="25"/>
      <c r="N11" s="32" t="s">
        <v>15</v>
      </c>
      <c r="O11" s="33">
        <f>+G8</f>
        <v>0.73</v>
      </c>
      <c r="P11" s="34"/>
      <c r="Q11" s="34"/>
      <c r="R11" s="34"/>
      <c r="S11" s="34"/>
      <c r="T11" s="34"/>
      <c r="U11" s="18"/>
      <c r="V11" s="22"/>
      <c r="W11" s="30"/>
      <c r="X11" s="9"/>
      <c r="Y11" s="9"/>
      <c r="Z11" s="9"/>
    </row>
    <row r="12" spans="1:27">
      <c r="A12" s="17"/>
      <c r="B12" s="2"/>
      <c r="C12" s="37" t="s">
        <v>20</v>
      </c>
      <c r="D12" s="38">
        <v>0.27</v>
      </c>
      <c r="E12" s="18"/>
      <c r="F12" s="37" t="s">
        <v>17</v>
      </c>
      <c r="G12" s="40">
        <f>+((1+G11)^(1/12)-1)*12</f>
        <v>0.64585353093996289</v>
      </c>
      <c r="H12" s="31"/>
      <c r="I12" s="2"/>
      <c r="J12" s="2"/>
      <c r="K12" s="21"/>
      <c r="L12" s="25"/>
      <c r="M12" s="2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9"/>
      <c r="Z12" s="9"/>
    </row>
    <row r="13" spans="1:27">
      <c r="A13" s="17"/>
      <c r="B13" s="2"/>
      <c r="C13" s="37" t="s">
        <v>21</v>
      </c>
      <c r="D13" s="38">
        <v>0.37</v>
      </c>
      <c r="E13" s="18"/>
      <c r="F13" s="37" t="s">
        <v>19</v>
      </c>
      <c r="G13" s="40">
        <f>+(G12-D9)</f>
        <v>0.14585353093996289</v>
      </c>
      <c r="H13" s="31"/>
      <c r="I13" s="2"/>
      <c r="J13" s="2"/>
      <c r="K13" s="21"/>
      <c r="L13" s="25"/>
      <c r="M13" s="25"/>
      <c r="N13" s="36"/>
      <c r="O13" s="34"/>
      <c r="P13" s="34"/>
      <c r="Q13" s="34"/>
      <c r="R13" s="34"/>
      <c r="S13" s="34"/>
      <c r="T13" s="34"/>
      <c r="U13" s="18"/>
      <c r="V13" s="22"/>
      <c r="W13" s="30"/>
      <c r="X13" s="9"/>
      <c r="Y13" s="9"/>
      <c r="Z13" s="9"/>
    </row>
    <row r="14" spans="1:27">
      <c r="A14" s="17"/>
      <c r="B14" s="2"/>
      <c r="C14" s="37"/>
      <c r="D14" s="38"/>
      <c r="E14" s="18"/>
      <c r="F14" s="37" t="s">
        <v>17</v>
      </c>
      <c r="G14" s="40">
        <f>+((1+G8)^(1/12)-1)*12</f>
        <v>0.56083241383058446</v>
      </c>
      <c r="H14" s="39" t="s">
        <v>23</v>
      </c>
      <c r="I14" s="2"/>
      <c r="J14" s="2"/>
      <c r="K14" s="21"/>
      <c r="L14" s="25"/>
      <c r="M14" s="25"/>
      <c r="N14" s="36"/>
      <c r="O14" s="34"/>
      <c r="P14" s="34"/>
      <c r="Q14" s="34"/>
      <c r="R14" s="34"/>
      <c r="S14" s="34"/>
      <c r="T14" s="34"/>
      <c r="U14" s="3"/>
      <c r="V14" s="3"/>
      <c r="W14" s="3"/>
      <c r="X14" s="3"/>
      <c r="Y14" s="3"/>
      <c r="Z14" s="3"/>
      <c r="AA14" s="3"/>
    </row>
    <row r="15" spans="1:27">
      <c r="A15" s="17"/>
      <c r="B15" s="2"/>
      <c r="C15" s="37"/>
      <c r="D15" s="38"/>
      <c r="E15" s="18"/>
      <c r="F15" s="37"/>
      <c r="G15" s="40"/>
      <c r="H15" s="39"/>
      <c r="I15" s="2"/>
      <c r="J15" s="2"/>
      <c r="K15" s="21"/>
      <c r="L15" s="21"/>
      <c r="M15" s="41" t="s">
        <v>29</v>
      </c>
      <c r="N15" s="41"/>
      <c r="O15" s="41"/>
      <c r="P15" s="41"/>
      <c r="Q15" s="42"/>
      <c r="R15" s="42"/>
      <c r="S15" s="42"/>
      <c r="T15" s="42"/>
      <c r="U15" s="3"/>
      <c r="V15" s="3"/>
      <c r="W15" s="3"/>
      <c r="X15" s="3"/>
      <c r="Y15" s="3"/>
      <c r="Z15" s="3"/>
      <c r="AA15" s="3"/>
    </row>
    <row r="16" spans="1:27" ht="14.25" customHeight="1">
      <c r="A16" s="17"/>
      <c r="B16" s="106" t="s">
        <v>31</v>
      </c>
      <c r="C16" s="104"/>
      <c r="D16" s="104"/>
      <c r="E16" s="104"/>
      <c r="F16" s="104"/>
      <c r="G16" s="104"/>
      <c r="H16" s="112"/>
      <c r="I16" s="111"/>
      <c r="J16" s="43"/>
      <c r="K16" s="44" t="s">
        <v>0</v>
      </c>
      <c r="L16" s="45" t="s">
        <v>24</v>
      </c>
      <c r="M16" s="45" t="s">
        <v>27</v>
      </c>
      <c r="N16" s="44" t="s">
        <v>4</v>
      </c>
      <c r="O16" s="44" t="s">
        <v>25</v>
      </c>
      <c r="P16" s="44" t="s">
        <v>26</v>
      </c>
      <c r="Q16" s="46" t="s">
        <v>4</v>
      </c>
      <c r="R16" s="46" t="s">
        <v>28</v>
      </c>
      <c r="S16" s="46" t="s">
        <v>6</v>
      </c>
      <c r="T16" s="46"/>
      <c r="U16" s="3"/>
      <c r="V16" s="3"/>
      <c r="W16" s="3"/>
      <c r="X16" s="3"/>
      <c r="Y16" s="3"/>
      <c r="Z16" s="3"/>
      <c r="AA16" s="3"/>
    </row>
    <row r="17" spans="1:27" ht="14.25" customHeight="1">
      <c r="A17" s="105"/>
      <c r="B17" s="115" t="s">
        <v>0</v>
      </c>
      <c r="C17" s="116" t="s">
        <v>37</v>
      </c>
      <c r="D17" s="116" t="s">
        <v>7</v>
      </c>
      <c r="E17" s="117" t="s">
        <v>2</v>
      </c>
      <c r="F17" s="109" t="s">
        <v>3</v>
      </c>
      <c r="G17" s="117" t="s">
        <v>5</v>
      </c>
      <c r="H17" s="117" t="s">
        <v>9</v>
      </c>
      <c r="I17" s="110"/>
      <c r="K17" s="47">
        <v>43413</v>
      </c>
      <c r="L17" s="48"/>
      <c r="M17" s="49">
        <v>43404</v>
      </c>
      <c r="N17" s="50"/>
      <c r="O17" s="47"/>
      <c r="P17" s="51"/>
      <c r="Q17" s="52">
        <f>+K17-$B$18</f>
        <v>0</v>
      </c>
      <c r="R17" s="53"/>
      <c r="S17" s="53"/>
      <c r="T17" s="53"/>
      <c r="U17" s="3"/>
      <c r="V17" s="3"/>
      <c r="W17" s="3"/>
      <c r="X17" s="3"/>
      <c r="Y17" s="3"/>
      <c r="Z17" s="3"/>
      <c r="AA17" s="3"/>
    </row>
    <row r="18" spans="1:27">
      <c r="A18" s="54"/>
      <c r="B18" s="124">
        <v>43413</v>
      </c>
      <c r="C18" s="125"/>
      <c r="D18" s="126"/>
      <c r="E18" s="127"/>
      <c r="F18" s="127"/>
      <c r="G18" s="128">
        <f>+D8*G9*-1</f>
        <v>-46721801.88439972</v>
      </c>
      <c r="H18" s="127">
        <f>+D8</f>
        <v>53057730</v>
      </c>
      <c r="I18" s="55"/>
      <c r="J18" s="2"/>
      <c r="K18" s="56">
        <v>43459</v>
      </c>
      <c r="L18" s="57">
        <v>6205900</v>
      </c>
      <c r="M18" s="58">
        <v>43434</v>
      </c>
      <c r="N18" s="59">
        <v>30</v>
      </c>
      <c r="O18" s="60">
        <f>+H18*(C19)/360*N18</f>
        <v>1635946.6750000003</v>
      </c>
      <c r="P18" s="60">
        <f>+P17+O18-F19</f>
        <v>0</v>
      </c>
      <c r="Q18" s="52">
        <f>+K18-$B$18</f>
        <v>46</v>
      </c>
      <c r="R18" s="61">
        <f>+G19/(1+$G$8)^(Q18/365)</f>
        <v>5791678.4537506672</v>
      </c>
      <c r="S18" s="61">
        <f>+R18*Q18</f>
        <v>266417208.8725307</v>
      </c>
      <c r="T18" s="61"/>
      <c r="U18" s="3"/>
      <c r="V18" s="3"/>
      <c r="W18" s="3"/>
      <c r="X18" s="3"/>
      <c r="Y18" s="3"/>
      <c r="Z18" s="3"/>
      <c r="AA18" s="3"/>
    </row>
    <row r="19" spans="1:27">
      <c r="A19" s="54"/>
      <c r="B19" s="124">
        <v>43459</v>
      </c>
      <c r="C19" s="129">
        <f>IF($D$11&lt;$D$12%,$D$12%,IF($D$11&gt;$D$13,$D$13,$D$11))</f>
        <v>0.37</v>
      </c>
      <c r="D19" s="71">
        <f>+E19/$H$18</f>
        <v>8.6131715868733916E-2</v>
      </c>
      <c r="E19" s="128">
        <f>+IF(H18&gt;0,MIN(L18-F19,H18),0)</f>
        <v>4569953.3249999993</v>
      </c>
      <c r="F19" s="130">
        <f>+MIN($L18,P17+O18)</f>
        <v>1635946.6750000003</v>
      </c>
      <c r="G19" s="127">
        <f t="shared" ref="G19:G27" si="0">+E19+F19</f>
        <v>6205900</v>
      </c>
      <c r="H19" s="127">
        <f>+H18-E19</f>
        <v>48487776.674999997</v>
      </c>
      <c r="I19" s="55"/>
      <c r="K19" s="56">
        <v>43490</v>
      </c>
      <c r="L19" s="57">
        <v>7423415</v>
      </c>
      <c r="M19" s="58">
        <v>43465</v>
      </c>
      <c r="N19" s="59">
        <v>30</v>
      </c>
      <c r="O19" s="60">
        <f>+H19*(C20)/360*N19</f>
        <v>1495039.7808125</v>
      </c>
      <c r="P19" s="60">
        <f>+P18+O19-F20</f>
        <v>0</v>
      </c>
      <c r="Q19" s="52">
        <f t="shared" ref="Q19:Q26" si="1">+K19-$B$18</f>
        <v>77</v>
      </c>
      <c r="R19" s="61">
        <f>+G20/(1+$G$8)^(Q19/365)</f>
        <v>6612806.1992001515</v>
      </c>
      <c r="S19" s="61">
        <f t="shared" ref="S19:S26" si="2">+R19*Q19</f>
        <v>509186077.33841169</v>
      </c>
      <c r="T19" s="61"/>
      <c r="U19" s="3"/>
      <c r="V19" s="3"/>
      <c r="W19" s="3"/>
      <c r="X19" s="3"/>
      <c r="Y19" s="3"/>
      <c r="Z19" s="3"/>
      <c r="AA19" s="3"/>
    </row>
    <row r="20" spans="1:27">
      <c r="A20" s="54"/>
      <c r="B20" s="124">
        <v>43490</v>
      </c>
      <c r="C20" s="129">
        <f>IF($D$11&lt;$D$12%,$D$12%,IF($D$11&gt;$D$13,$D$13,$D$11))</f>
        <v>0.37</v>
      </c>
      <c r="D20" s="71">
        <f t="shared" ref="D20:D27" si="3">+E20/$H$18</f>
        <v>0.11173443001024544</v>
      </c>
      <c r="E20" s="128">
        <f>+IF(H19&gt;0,MIN(L19-F20,H19),0)</f>
        <v>5928375.2191875</v>
      </c>
      <c r="F20" s="130">
        <f>+MIN($L19,P18+O19)</f>
        <v>1495039.7808125</v>
      </c>
      <c r="G20" s="127">
        <f t="shared" si="0"/>
        <v>7423415</v>
      </c>
      <c r="H20" s="127">
        <f t="shared" ref="H20:H27" si="4">+H19-E20</f>
        <v>42559401.455812499</v>
      </c>
      <c r="I20" s="55"/>
      <c r="K20" s="56">
        <v>43521</v>
      </c>
      <c r="L20" s="57">
        <v>7413346</v>
      </c>
      <c r="M20" s="58">
        <v>43496</v>
      </c>
      <c r="N20" s="59">
        <v>30</v>
      </c>
      <c r="O20" s="60">
        <f>+H20*(C21)/360*N20</f>
        <v>1312248.2115542185</v>
      </c>
      <c r="P20" s="60">
        <f>+P19+O20-F21</f>
        <v>0</v>
      </c>
      <c r="Q20" s="52">
        <f t="shared" si="1"/>
        <v>108</v>
      </c>
      <c r="R20" s="61">
        <f>+G21/(1+$G$8)^(Q20/365)</f>
        <v>6303455.7863812</v>
      </c>
      <c r="S20" s="61">
        <f t="shared" si="2"/>
        <v>680773224.92916965</v>
      </c>
      <c r="T20" s="61"/>
      <c r="U20" s="3"/>
      <c r="V20" s="3"/>
      <c r="W20" s="3"/>
      <c r="X20" s="3"/>
      <c r="Y20" s="3"/>
      <c r="Z20" s="3"/>
      <c r="AA20" s="3"/>
    </row>
    <row r="21" spans="1:27">
      <c r="A21" s="54"/>
      <c r="B21" s="124">
        <v>43521</v>
      </c>
      <c r="C21" s="129">
        <f t="shared" ref="C21:C27" si="5">IF($D$11&lt;$D$12%,$D$12%,IF($D$11&gt;$D$13,$D$13,$D$11))</f>
        <v>0.37</v>
      </c>
      <c r="D21" s="71">
        <f t="shared" si="3"/>
        <v>0.114989800514379</v>
      </c>
      <c r="E21" s="128">
        <f>+IF(H20&gt;0,MIN(L20-F21,H20),0)</f>
        <v>6101097.7884457819</v>
      </c>
      <c r="F21" s="130">
        <f>+MIN($L20,P19+O20)</f>
        <v>1312248.2115542185</v>
      </c>
      <c r="G21" s="127">
        <f t="shared" si="0"/>
        <v>7413346</v>
      </c>
      <c r="H21" s="127">
        <f t="shared" si="4"/>
        <v>36458303.667366713</v>
      </c>
      <c r="I21" s="55"/>
      <c r="K21" s="56">
        <v>43549</v>
      </c>
      <c r="L21" s="57">
        <v>7676758</v>
      </c>
      <c r="M21" s="58">
        <v>43524</v>
      </c>
      <c r="N21" s="59">
        <v>30</v>
      </c>
      <c r="O21" s="60">
        <f>+H21*(C22)/360*N21</f>
        <v>1124131.0297438069</v>
      </c>
      <c r="P21" s="60">
        <f>+P20+O21-F22</f>
        <v>0</v>
      </c>
      <c r="Q21" s="52">
        <f t="shared" si="1"/>
        <v>136</v>
      </c>
      <c r="R21" s="61">
        <f>+G22/(1+$G$8)^(Q21/365)</f>
        <v>6258657.993568032</v>
      </c>
      <c r="S21" s="61">
        <f t="shared" si="2"/>
        <v>851177487.12525237</v>
      </c>
      <c r="T21" s="61"/>
      <c r="U21" s="3"/>
      <c r="V21" s="3"/>
      <c r="W21" s="3"/>
      <c r="X21" s="3"/>
      <c r="Y21" s="3"/>
      <c r="Z21" s="3"/>
      <c r="AA21" s="3"/>
    </row>
    <row r="22" spans="1:27">
      <c r="A22" s="54"/>
      <c r="B22" s="124">
        <v>43549</v>
      </c>
      <c r="C22" s="129">
        <f t="shared" si="5"/>
        <v>0.37</v>
      </c>
      <c r="D22" s="71">
        <f t="shared" si="3"/>
        <v>0.12349994939957275</v>
      </c>
      <c r="E22" s="128">
        <f>+IF(H21&gt;0,MIN(L21-F22,H21),0)</f>
        <v>6552626.9702561926</v>
      </c>
      <c r="F22" s="130">
        <f t="shared" ref="F22:F27" si="6">+MIN($L21,P20+O21)</f>
        <v>1124131.0297438069</v>
      </c>
      <c r="G22" s="127">
        <f t="shared" si="0"/>
        <v>7676758</v>
      </c>
      <c r="H22" s="127">
        <f t="shared" si="4"/>
        <v>29905676.697110519</v>
      </c>
      <c r="I22" s="55"/>
      <c r="J22" s="2"/>
      <c r="K22" s="56">
        <v>43580</v>
      </c>
      <c r="L22" s="57">
        <v>7910581</v>
      </c>
      <c r="M22" s="58">
        <v>43555</v>
      </c>
      <c r="N22" s="59">
        <v>30</v>
      </c>
      <c r="O22" s="60">
        <f>+H22*(C23)/360*N22</f>
        <v>922091.69816090772</v>
      </c>
      <c r="P22" s="60">
        <f>+P21+O22-F23</f>
        <v>0</v>
      </c>
      <c r="Q22" s="52">
        <f t="shared" si="1"/>
        <v>167</v>
      </c>
      <c r="R22" s="61">
        <f>+G23/(1+$G$8)^(Q22/365)</f>
        <v>6155936.5858848803</v>
      </c>
      <c r="S22" s="61">
        <f t="shared" si="2"/>
        <v>1028041409.842775</v>
      </c>
      <c r="T22" s="61"/>
      <c r="U22" s="3"/>
      <c r="V22" s="3"/>
      <c r="W22" s="3"/>
      <c r="X22" s="3"/>
      <c r="Y22" s="3"/>
      <c r="Z22" s="3"/>
      <c r="AA22" s="3"/>
    </row>
    <row r="23" spans="1:27">
      <c r="A23" s="54"/>
      <c r="B23" s="124">
        <v>43580</v>
      </c>
      <c r="C23" s="129">
        <f t="shared" si="5"/>
        <v>0.37</v>
      </c>
      <c r="D23" s="71">
        <f t="shared" si="3"/>
        <v>0.13171481896867981</v>
      </c>
      <c r="E23" s="128">
        <f>+IF(H22&gt;0,MIN(L22-F23,H22),0)</f>
        <v>6988489.3018390927</v>
      </c>
      <c r="F23" s="130">
        <f t="shared" si="6"/>
        <v>922091.69816090772</v>
      </c>
      <c r="G23" s="127">
        <f t="shared" si="0"/>
        <v>7910581</v>
      </c>
      <c r="H23" s="127">
        <f t="shared" si="4"/>
        <v>22917187.395271428</v>
      </c>
      <c r="I23" s="55"/>
      <c r="J23" s="2"/>
      <c r="K23" s="56">
        <v>43612</v>
      </c>
      <c r="L23" s="57">
        <v>6715120</v>
      </c>
      <c r="M23" s="58">
        <v>43585</v>
      </c>
      <c r="N23" s="59">
        <v>30</v>
      </c>
      <c r="O23" s="60">
        <f>+H23*(C24)/360*N23</f>
        <v>706613.27802086901</v>
      </c>
      <c r="P23" s="60">
        <f>+P22+O23-F24</f>
        <v>0</v>
      </c>
      <c r="Q23" s="52">
        <f t="shared" si="1"/>
        <v>199</v>
      </c>
      <c r="R23" s="61">
        <f>+G24/(1+$G$8)^(Q23/365)</f>
        <v>4980463.2307343371</v>
      </c>
      <c r="S23" s="61">
        <f t="shared" si="2"/>
        <v>991112182.91613305</v>
      </c>
      <c r="T23" s="61"/>
      <c r="U23" s="3"/>
      <c r="V23" s="3"/>
      <c r="W23" s="3"/>
      <c r="X23" s="3"/>
      <c r="Y23" s="3"/>
      <c r="Z23" s="3"/>
      <c r="AA23" s="3"/>
    </row>
    <row r="24" spans="1:27">
      <c r="A24" s="54"/>
      <c r="B24" s="124">
        <v>43612</v>
      </c>
      <c r="C24" s="129">
        <f t="shared" si="5"/>
        <v>0.37</v>
      </c>
      <c r="D24" s="71">
        <f t="shared" si="3"/>
        <v>0.11324470010268307</v>
      </c>
      <c r="E24" s="128">
        <f>+IF(H23&gt;0,MIN(L23-F24,H23),0)</f>
        <v>6008506.721979131</v>
      </c>
      <c r="F24" s="130">
        <f t="shared" si="6"/>
        <v>706613.27802086901</v>
      </c>
      <c r="G24" s="127">
        <f t="shared" si="0"/>
        <v>6715120</v>
      </c>
      <c r="H24" s="127">
        <f t="shared" si="4"/>
        <v>16908680.673292298</v>
      </c>
      <c r="I24" s="55"/>
      <c r="J24" s="2"/>
      <c r="K24" s="56">
        <v>43641</v>
      </c>
      <c r="L24" s="57">
        <v>7161302</v>
      </c>
      <c r="M24" s="58">
        <v>43616</v>
      </c>
      <c r="N24" s="59">
        <v>30</v>
      </c>
      <c r="O24" s="60">
        <f>+H24*(C25)/360*N24</f>
        <v>521350.98742651253</v>
      </c>
      <c r="P24" s="60">
        <f>+P23+O24-F25</f>
        <v>0</v>
      </c>
      <c r="Q24" s="52">
        <f t="shared" si="1"/>
        <v>228</v>
      </c>
      <c r="R24" s="61">
        <f>+G25/(1+$G$8)^(Q24/365)</f>
        <v>5085043.787166696</v>
      </c>
      <c r="S24" s="61">
        <f t="shared" si="2"/>
        <v>1159389983.4740067</v>
      </c>
      <c r="T24" s="61"/>
      <c r="U24" s="3"/>
      <c r="V24" s="3"/>
      <c r="W24" s="3"/>
      <c r="X24" s="3"/>
      <c r="Y24" s="3"/>
      <c r="Z24" s="3"/>
      <c r="AA24" s="3"/>
    </row>
    <row r="25" spans="1:27">
      <c r="A25" s="54"/>
      <c r="B25" s="124">
        <v>43641</v>
      </c>
      <c r="C25" s="129">
        <f t="shared" si="5"/>
        <v>0.37</v>
      </c>
      <c r="D25" s="71">
        <f t="shared" si="3"/>
        <v>0.12514578012616612</v>
      </c>
      <c r="E25" s="128">
        <f>+IF(H24&gt;0,MIN(L24-F25,H24),0)</f>
        <v>6639951.0125734871</v>
      </c>
      <c r="F25" s="130">
        <f t="shared" si="6"/>
        <v>521350.98742651253</v>
      </c>
      <c r="G25" s="127">
        <f t="shared" si="0"/>
        <v>7161302</v>
      </c>
      <c r="H25" s="127">
        <f t="shared" si="4"/>
        <v>10268729.66071881</v>
      </c>
      <c r="I25" s="55"/>
      <c r="K25" s="56">
        <v>43671</v>
      </c>
      <c r="L25" s="57">
        <v>6992359</v>
      </c>
      <c r="M25" s="58">
        <v>43646</v>
      </c>
      <c r="N25" s="59">
        <v>30</v>
      </c>
      <c r="O25" s="60">
        <f>+H25*(C26)/360*N25</f>
        <v>316619.16453882999</v>
      </c>
      <c r="P25" s="60">
        <f>+P24+O25-F26</f>
        <v>0</v>
      </c>
      <c r="Q25" s="52">
        <f t="shared" si="1"/>
        <v>258</v>
      </c>
      <c r="R25" s="61">
        <f>+G26/(1+$G$8)^(Q25/365)</f>
        <v>4746363.4684620118</v>
      </c>
      <c r="S25" s="61">
        <f t="shared" si="2"/>
        <v>1224561774.863199</v>
      </c>
      <c r="T25" s="61"/>
      <c r="U25" s="3"/>
      <c r="V25" s="3"/>
      <c r="W25" s="3"/>
      <c r="X25" s="3"/>
      <c r="Y25" s="3"/>
      <c r="Z25" s="3"/>
      <c r="AA25" s="3"/>
    </row>
    <row r="26" spans="1:27">
      <c r="A26" s="54"/>
      <c r="B26" s="124">
        <v>43671</v>
      </c>
      <c r="C26" s="129">
        <f t="shared" si="5"/>
        <v>0.37</v>
      </c>
      <c r="D26" s="71">
        <f t="shared" si="3"/>
        <v>0.12582030621101148</v>
      </c>
      <c r="E26" s="128">
        <f>+IF(H25&gt;0,MIN(L25-F26,H25),0)</f>
        <v>6675739.8354611704</v>
      </c>
      <c r="F26" s="130">
        <f t="shared" si="6"/>
        <v>316619.16453882999</v>
      </c>
      <c r="G26" s="127">
        <f t="shared" si="0"/>
        <v>6992359</v>
      </c>
      <c r="H26" s="127">
        <f t="shared" si="4"/>
        <v>3592989.8252576394</v>
      </c>
      <c r="I26" s="55"/>
      <c r="K26" s="62">
        <v>43703</v>
      </c>
      <c r="L26" s="63">
        <v>5161677</v>
      </c>
      <c r="M26" s="64">
        <v>43677</v>
      </c>
      <c r="N26" s="65">
        <v>30</v>
      </c>
      <c r="O26" s="66">
        <f>+H26*(C27)/360*N26</f>
        <v>110783.85294544388</v>
      </c>
      <c r="P26" s="66">
        <f>+P25+O26-F27</f>
        <v>0</v>
      </c>
      <c r="Q26" s="52">
        <f t="shared" si="1"/>
        <v>290</v>
      </c>
      <c r="R26" s="61">
        <f>+G27/(1+$G$8)^(Q26/365)</f>
        <v>2396138.5187700856</v>
      </c>
      <c r="S26" s="61">
        <f t="shared" si="2"/>
        <v>694880170.4433248</v>
      </c>
      <c r="T26" s="61"/>
      <c r="U26" s="3"/>
      <c r="V26" s="3"/>
      <c r="W26" s="3"/>
      <c r="X26" s="3"/>
      <c r="Y26" s="3"/>
      <c r="Z26" s="3"/>
      <c r="AA26" s="3"/>
    </row>
    <row r="27" spans="1:27">
      <c r="A27" s="54"/>
      <c r="B27" s="124">
        <v>43703</v>
      </c>
      <c r="C27" s="129">
        <f t="shared" si="5"/>
        <v>0.37</v>
      </c>
      <c r="D27" s="71">
        <f t="shared" si="3"/>
        <v>6.7718498798528315E-2</v>
      </c>
      <c r="E27" s="128">
        <f>+IF(H26&gt;0,MIN(L26-F27,H26),0)</f>
        <v>3592989.8252576394</v>
      </c>
      <c r="F27" s="130">
        <f t="shared" si="6"/>
        <v>110783.85294544388</v>
      </c>
      <c r="G27" s="127">
        <f t="shared" si="0"/>
        <v>3703773.6782030831</v>
      </c>
      <c r="H27" s="127">
        <f t="shared" si="4"/>
        <v>0</v>
      </c>
      <c r="I27" s="55"/>
      <c r="K27" s="67"/>
      <c r="L27" s="67"/>
      <c r="M27" s="67"/>
      <c r="N27" s="67"/>
      <c r="O27" s="67"/>
      <c r="P27" s="67"/>
      <c r="Q27" s="67"/>
      <c r="R27" s="68">
        <f>SUM(R18:R26)</f>
        <v>48330544.02391807</v>
      </c>
      <c r="S27" s="68">
        <f>SUM(S18:S26)</f>
        <v>7405539519.8048029</v>
      </c>
      <c r="T27" s="61"/>
      <c r="U27" s="3"/>
      <c r="V27" s="3"/>
      <c r="W27" s="3"/>
      <c r="X27" s="3"/>
      <c r="Y27" s="3"/>
      <c r="Z27" s="3"/>
      <c r="AA27" s="3"/>
    </row>
    <row r="28" spans="1:27">
      <c r="A28" s="107"/>
      <c r="B28" s="118"/>
      <c r="C28" s="119"/>
      <c r="D28" s="120">
        <f>SUM(D19:D27)</f>
        <v>0.99999999999999989</v>
      </c>
      <c r="E28" s="121">
        <f>SUM(E18:E27)</f>
        <v>53057729.999999993</v>
      </c>
      <c r="F28" s="122">
        <f>SUM(F18:F27)</f>
        <v>8144824.6782030892</v>
      </c>
      <c r="G28" s="121">
        <f>SUM(G19:G27)</f>
        <v>61202554.678203084</v>
      </c>
      <c r="H28" s="123"/>
      <c r="I28" s="55"/>
      <c r="J28" s="2"/>
      <c r="K28" s="67"/>
      <c r="L28" s="67"/>
      <c r="M28" s="67"/>
      <c r="N28" s="67"/>
      <c r="O28" s="25"/>
      <c r="P28" s="25"/>
      <c r="Q28" s="25"/>
      <c r="R28" s="25"/>
      <c r="S28" s="69">
        <f>+S27/R27</f>
        <v>153.22690173195465</v>
      </c>
      <c r="T28" s="61"/>
      <c r="U28" s="3"/>
      <c r="V28" s="3"/>
      <c r="W28" s="3"/>
      <c r="X28" s="3"/>
      <c r="Y28" s="3"/>
      <c r="Z28" s="3"/>
      <c r="AA28" s="3"/>
    </row>
    <row r="29" spans="1:27" s="9" customFormat="1">
      <c r="A29" s="90"/>
      <c r="B29" s="91"/>
      <c r="C29" s="108"/>
      <c r="D29" s="92"/>
      <c r="E29" s="114"/>
      <c r="F29" s="114"/>
      <c r="G29" s="114"/>
      <c r="H29" s="113"/>
      <c r="I29" s="93"/>
      <c r="J29" s="18"/>
      <c r="K29" s="30"/>
      <c r="L29" s="30"/>
      <c r="M29" s="30"/>
      <c r="N29" s="30"/>
      <c r="S29" s="94"/>
      <c r="T29" s="78"/>
    </row>
    <row r="30" spans="1:27">
      <c r="A30" s="17"/>
      <c r="B30" s="70"/>
      <c r="C30" s="71"/>
      <c r="D30" s="72"/>
      <c r="E30" s="73"/>
      <c r="F30" s="73"/>
      <c r="G30" s="73"/>
      <c r="H30" s="74"/>
      <c r="I30" s="2"/>
      <c r="J30" s="2"/>
      <c r="K30" s="25"/>
      <c r="L30" s="25"/>
      <c r="M30" s="25"/>
      <c r="N30" s="25"/>
      <c r="O30" s="75"/>
      <c r="P30" s="75"/>
      <c r="Q30" s="75"/>
      <c r="R30" s="76" t="s">
        <v>6</v>
      </c>
      <c r="S30" s="77">
        <f>+S28/30</f>
        <v>5.1075633910651552</v>
      </c>
      <c r="T30" s="61"/>
      <c r="U30" s="78"/>
      <c r="V30" s="79"/>
      <c r="W30" s="9"/>
      <c r="X30" s="9"/>
      <c r="Y30" s="9"/>
      <c r="Z30" s="9"/>
    </row>
    <row r="31" spans="1:27" ht="15">
      <c r="B31" s="89" t="s">
        <v>39</v>
      </c>
      <c r="C31" s="89"/>
      <c r="D31" s="89"/>
      <c r="E31" s="89"/>
      <c r="F31" s="89"/>
      <c r="G31" s="89"/>
      <c r="H31" s="89"/>
      <c r="N31" s="80"/>
      <c r="O31" s="80"/>
      <c r="P31" s="80"/>
      <c r="Q31" s="80"/>
      <c r="R31" s="80"/>
      <c r="S31" s="80"/>
      <c r="T31" s="81"/>
      <c r="U31" s="82"/>
    </row>
    <row r="32" spans="1:27">
      <c r="B32" s="106" t="s">
        <v>31</v>
      </c>
      <c r="C32" s="104"/>
      <c r="D32" s="104"/>
      <c r="E32" s="104"/>
      <c r="F32" s="104"/>
      <c r="G32" s="104"/>
      <c r="H32" s="112"/>
      <c r="N32" s="80"/>
      <c r="O32" s="80"/>
      <c r="P32" s="80"/>
      <c r="Q32" s="80"/>
      <c r="R32" s="80"/>
      <c r="S32" s="80"/>
      <c r="T32" s="81"/>
      <c r="U32" s="83"/>
    </row>
    <row r="33" spans="1:21">
      <c r="B33" s="115" t="s">
        <v>0</v>
      </c>
      <c r="C33" s="116" t="s">
        <v>38</v>
      </c>
      <c r="D33" s="116" t="s">
        <v>7</v>
      </c>
      <c r="E33" s="117" t="s">
        <v>2</v>
      </c>
      <c r="F33" s="109" t="s">
        <v>3</v>
      </c>
      <c r="G33" s="117" t="s">
        <v>5</v>
      </c>
      <c r="H33" s="117" t="s">
        <v>9</v>
      </c>
      <c r="N33" s="80"/>
      <c r="O33" s="80"/>
      <c r="P33" s="80"/>
      <c r="Q33" s="80"/>
      <c r="R33" s="80"/>
      <c r="S33" s="80"/>
      <c r="T33" s="81"/>
    </row>
    <row r="34" spans="1:21">
      <c r="B34" s="124">
        <f>+B18</f>
        <v>43413</v>
      </c>
      <c r="C34" s="125"/>
      <c r="D34" s="126"/>
      <c r="E34" s="127"/>
      <c r="F34" s="127"/>
      <c r="G34" s="128">
        <v>0</v>
      </c>
      <c r="H34" s="127">
        <f>+O10</f>
        <v>53057730</v>
      </c>
      <c r="N34" s="80"/>
      <c r="O34" s="80"/>
      <c r="P34" s="80"/>
      <c r="Q34" s="80"/>
      <c r="R34" s="80"/>
      <c r="S34" s="80"/>
      <c r="T34" s="81"/>
      <c r="U34" s="84"/>
    </row>
    <row r="35" spans="1:21">
      <c r="B35" s="124">
        <v>43459</v>
      </c>
      <c r="C35" s="129">
        <v>0.27</v>
      </c>
      <c r="D35" s="71">
        <v>9.4465047788512627E-2</v>
      </c>
      <c r="E35" s="128">
        <f>+$O$10*D35</f>
        <v>5012101</v>
      </c>
      <c r="F35" s="130">
        <f>+H34*C35/12*1</f>
        <v>1193798.925</v>
      </c>
      <c r="G35" s="127">
        <f>+E35+F35</f>
        <v>6205899.9249999998</v>
      </c>
      <c r="H35" s="127">
        <f>+H34-E35</f>
        <v>48045629</v>
      </c>
      <c r="N35" s="80"/>
      <c r="O35" s="80"/>
      <c r="P35" s="80"/>
      <c r="Q35" s="80"/>
      <c r="R35" s="80"/>
      <c r="S35" s="80"/>
      <c r="T35" s="81"/>
    </row>
    <row r="36" spans="1:21">
      <c r="B36" s="124">
        <v>43490</v>
      </c>
      <c r="C36" s="129">
        <v>0.27</v>
      </c>
      <c r="D36" s="71">
        <v>0.11953749246339788</v>
      </c>
      <c r="E36" s="128">
        <f t="shared" ref="E36:E43" si="7">+$O$10*D36</f>
        <v>6342388</v>
      </c>
      <c r="F36" s="130">
        <f>+H35*C36/12*1</f>
        <v>1081026.6525000001</v>
      </c>
      <c r="G36" s="127">
        <f t="shared" ref="G36:G44" si="8">+E36+F36</f>
        <v>7423414.6524999999</v>
      </c>
      <c r="H36" s="127">
        <f t="shared" ref="H36:H43" si="9">+H35-E36</f>
        <v>41703241</v>
      </c>
      <c r="T36" s="81"/>
    </row>
    <row r="37" spans="1:21">
      <c r="B37" s="124">
        <v>43521</v>
      </c>
      <c r="C37" s="129">
        <v>0.27</v>
      </c>
      <c r="D37" s="71">
        <v>0.12203731671143865</v>
      </c>
      <c r="E37" s="128">
        <f t="shared" si="7"/>
        <v>6475023</v>
      </c>
      <c r="F37" s="130">
        <f t="shared" ref="F37:F43" si="10">+H36*C37/12*1</f>
        <v>938322.92249999999</v>
      </c>
      <c r="G37" s="127">
        <f t="shared" si="8"/>
        <v>7413345.9225000003</v>
      </c>
      <c r="H37" s="127">
        <f t="shared" si="9"/>
        <v>35228218</v>
      </c>
      <c r="T37" s="81"/>
    </row>
    <row r="38" spans="1:21">
      <c r="B38" s="124">
        <v>43549</v>
      </c>
      <c r="C38" s="129">
        <v>0.27</v>
      </c>
      <c r="D38" s="71">
        <v>0.12974778604361703</v>
      </c>
      <c r="E38" s="128">
        <f t="shared" si="7"/>
        <v>6884123.0000000009</v>
      </c>
      <c r="F38" s="130">
        <f t="shared" si="10"/>
        <v>792634.90500000014</v>
      </c>
      <c r="G38" s="127">
        <f t="shared" si="8"/>
        <v>7676757.9050000012</v>
      </c>
      <c r="H38" s="127">
        <f t="shared" si="9"/>
        <v>28344095</v>
      </c>
      <c r="T38" s="81"/>
    </row>
    <row r="39" spans="1:21">
      <c r="B39" s="124">
        <v>43580</v>
      </c>
      <c r="C39" s="129">
        <v>0.27</v>
      </c>
      <c r="D39" s="71">
        <v>0.137074070074238</v>
      </c>
      <c r="E39" s="128">
        <f t="shared" si="7"/>
        <v>7272839</v>
      </c>
      <c r="F39" s="130">
        <f t="shared" si="10"/>
        <v>637742.13750000007</v>
      </c>
      <c r="G39" s="127">
        <f t="shared" si="8"/>
        <v>7910581.1375000002</v>
      </c>
      <c r="H39" s="127">
        <f t="shared" si="9"/>
        <v>21071256</v>
      </c>
    </row>
    <row r="40" spans="1:21">
      <c r="B40" s="124">
        <v>43612</v>
      </c>
      <c r="C40" s="129">
        <v>0.27</v>
      </c>
      <c r="D40" s="71">
        <v>0.11762691317551656</v>
      </c>
      <c r="E40" s="128">
        <f t="shared" si="7"/>
        <v>6241017</v>
      </c>
      <c r="F40" s="130">
        <f t="shared" si="10"/>
        <v>474103.26</v>
      </c>
      <c r="G40" s="127">
        <f t="shared" si="8"/>
        <v>6715120.2599999998</v>
      </c>
      <c r="H40" s="127">
        <f t="shared" si="9"/>
        <v>14830239</v>
      </c>
    </row>
    <row r="41" spans="1:21">
      <c r="B41" s="124">
        <v>43641</v>
      </c>
      <c r="C41" s="129">
        <v>0.27</v>
      </c>
      <c r="D41" s="71">
        <v>0.12868288937351824</v>
      </c>
      <c r="E41" s="128">
        <f t="shared" si="7"/>
        <v>6827622</v>
      </c>
      <c r="F41" s="130">
        <f t="shared" si="10"/>
        <v>333680.3775</v>
      </c>
      <c r="G41" s="127">
        <f t="shared" si="8"/>
        <v>7161302.3775000004</v>
      </c>
      <c r="H41" s="127">
        <f t="shared" si="9"/>
        <v>8002617</v>
      </c>
    </row>
    <row r="42" spans="1:21">
      <c r="B42" s="124">
        <v>43671</v>
      </c>
      <c r="C42" s="129">
        <v>0.27</v>
      </c>
      <c r="D42" s="71">
        <v>0.12839410958591707</v>
      </c>
      <c r="E42" s="128">
        <f t="shared" si="7"/>
        <v>6812300</v>
      </c>
      <c r="F42" s="130">
        <f t="shared" si="10"/>
        <v>180058.88250000004</v>
      </c>
      <c r="G42" s="127">
        <f t="shared" si="8"/>
        <v>6992358.8825000003</v>
      </c>
      <c r="H42" s="127">
        <f t="shared" si="9"/>
        <v>1190317</v>
      </c>
    </row>
    <row r="43" spans="1:21">
      <c r="B43" s="124">
        <v>43703</v>
      </c>
      <c r="C43" s="129">
        <v>0.27</v>
      </c>
      <c r="D43" s="71">
        <v>2.2434374783843938E-2</v>
      </c>
      <c r="E43" s="128">
        <f t="shared" si="7"/>
        <v>1190317</v>
      </c>
      <c r="F43" s="130">
        <f t="shared" si="10"/>
        <v>26782.132500000003</v>
      </c>
      <c r="G43" s="127">
        <f t="shared" si="8"/>
        <v>1217099.1325000001</v>
      </c>
      <c r="H43" s="127">
        <f t="shared" si="9"/>
        <v>0</v>
      </c>
    </row>
    <row r="44" spans="1:21">
      <c r="B44" s="118"/>
      <c r="C44" s="119"/>
      <c r="D44" s="131">
        <f>SUM(D35:D43)</f>
        <v>0.99999999999999989</v>
      </c>
      <c r="E44" s="121">
        <f>SUM(E35:E43)</f>
        <v>53057730</v>
      </c>
      <c r="F44" s="122">
        <f>SUM(F35:F43)</f>
        <v>5658150.1950000012</v>
      </c>
      <c r="G44" s="121">
        <f t="shared" si="8"/>
        <v>58715880.195</v>
      </c>
      <c r="H44" s="123"/>
    </row>
    <row r="45" spans="1:21">
      <c r="D45" s="132"/>
      <c r="E45" s="85"/>
      <c r="F45" s="85"/>
    </row>
    <row r="46" spans="1:21" ht="15.75" customHeight="1">
      <c r="B46" s="100" t="s">
        <v>40</v>
      </c>
      <c r="C46" s="100"/>
      <c r="D46" s="100"/>
      <c r="E46" s="103"/>
      <c r="F46" s="103"/>
      <c r="G46" s="2"/>
    </row>
    <row r="47" spans="1:21" ht="12.75" customHeight="1">
      <c r="B47" s="99" t="s">
        <v>41</v>
      </c>
      <c r="C47" s="99"/>
      <c r="D47" s="99"/>
      <c r="E47" s="103"/>
      <c r="F47" s="103"/>
      <c r="G47" s="2"/>
    </row>
    <row r="48" spans="1:21">
      <c r="A48" s="2"/>
      <c r="B48" s="99"/>
      <c r="C48" s="99"/>
      <c r="D48" s="99"/>
      <c r="E48" s="103"/>
      <c r="F48" s="103"/>
      <c r="G48" s="2"/>
    </row>
    <row r="49" spans="2:27" s="2" customFormat="1">
      <c r="B49" s="99"/>
      <c r="C49" s="99"/>
      <c r="D49" s="99"/>
      <c r="E49" s="1"/>
      <c r="F49" s="1"/>
      <c r="K49" s="6"/>
      <c r="L49" s="6"/>
      <c r="M49" s="6"/>
      <c r="N49" s="6"/>
      <c r="O49" s="6"/>
      <c r="P49" s="6"/>
      <c r="Q49" s="6"/>
      <c r="R49" s="6"/>
      <c r="S49" s="6"/>
      <c r="T49" s="6"/>
      <c r="U49" s="86"/>
      <c r="V49" s="87"/>
      <c r="W49" s="86"/>
      <c r="X49" s="86"/>
      <c r="Y49" s="86"/>
      <c r="Z49" s="86"/>
      <c r="AA49" s="18"/>
    </row>
    <row r="50" spans="2:27" s="2" customFormat="1" hidden="1">
      <c r="B50" s="1"/>
      <c r="C50" s="1"/>
      <c r="D50" s="1"/>
      <c r="E50" s="1"/>
      <c r="F50" s="1"/>
      <c r="K50" s="6"/>
      <c r="L50" s="6"/>
      <c r="M50" s="6"/>
      <c r="N50" s="6"/>
      <c r="O50" s="6"/>
      <c r="P50" s="6"/>
      <c r="Q50" s="6"/>
      <c r="R50" s="6"/>
      <c r="S50" s="6"/>
      <c r="T50" s="6"/>
      <c r="U50" s="86"/>
      <c r="V50" s="87"/>
      <c r="W50" s="86"/>
      <c r="X50" s="86"/>
      <c r="Y50" s="86"/>
      <c r="Z50" s="86"/>
      <c r="AA50" s="18"/>
    </row>
    <row r="51" spans="2:27" s="2" customFormat="1" hidden="1">
      <c r="B51" s="1"/>
      <c r="C51" s="1"/>
      <c r="D51" s="1"/>
      <c r="E51" s="1"/>
      <c r="F51" s="1"/>
      <c r="K51" s="6"/>
      <c r="L51" s="6"/>
      <c r="M51" s="6"/>
      <c r="N51" s="6"/>
      <c r="O51" s="6"/>
      <c r="P51" s="6"/>
      <c r="Q51" s="6"/>
      <c r="R51" s="6"/>
      <c r="S51" s="6"/>
      <c r="T51" s="6"/>
      <c r="U51" s="86"/>
      <c r="V51" s="87"/>
      <c r="W51" s="86"/>
      <c r="X51" s="86"/>
      <c r="Y51" s="86"/>
      <c r="Z51" s="86"/>
      <c r="AA51" s="18"/>
    </row>
    <row r="52" spans="2:27" s="2" customFormat="1" hidden="1">
      <c r="B52" s="1"/>
      <c r="C52" s="1"/>
      <c r="D52" s="1"/>
      <c r="E52" s="1"/>
      <c r="F52" s="1"/>
      <c r="K52" s="6"/>
      <c r="L52" s="6"/>
      <c r="M52" s="6"/>
      <c r="N52" s="6"/>
      <c r="O52" s="6"/>
      <c r="P52" s="6"/>
      <c r="Q52" s="6"/>
      <c r="R52" s="6"/>
      <c r="S52" s="6"/>
      <c r="T52" s="6"/>
      <c r="U52" s="86"/>
      <c r="V52" s="87"/>
      <c r="W52" s="86"/>
      <c r="X52" s="86"/>
      <c r="Y52" s="86"/>
      <c r="Z52" s="86"/>
      <c r="AA52" s="18"/>
    </row>
    <row r="53" spans="2:27" hidden="1"/>
    <row r="54" spans="2:27" hidden="1"/>
    <row r="55" spans="2:27" hidden="1"/>
    <row r="56" spans="2:27" hidden="1">
      <c r="C56" s="88"/>
    </row>
    <row r="57" spans="2:27" hidden="1"/>
    <row r="58" spans="2:27" hidden="1"/>
    <row r="59" spans="2:27" hidden="1"/>
    <row r="60" spans="2:27" hidden="1"/>
    <row r="61" spans="2:27" hidden="1"/>
    <row r="62" spans="2:27" hidden="1"/>
    <row r="63" spans="2:27" hidden="1"/>
    <row r="64" spans="2:27" hidden="1"/>
    <row r="65"/>
  </sheetData>
  <sheetProtection password="C0EE" sheet="1" objects="1" scenarios="1"/>
  <mergeCells count="8">
    <mergeCell ref="B16:H16"/>
    <mergeCell ref="B32:H32"/>
    <mergeCell ref="B31:H31"/>
    <mergeCell ref="B47:D49"/>
    <mergeCell ref="B46:D46"/>
    <mergeCell ref="A6:I6"/>
    <mergeCell ref="K1:N1"/>
    <mergeCell ref="M15:P15"/>
  </mergeCells>
  <phoneticPr fontId="4" type="noConversion"/>
  <conditionalFormatting sqref="E28:G30 E19:E27 N18:N26 E44:G44 E35:E43">
    <cfRule type="cellIs" dxfId="7" priority="5" stopIfTrue="1" operator="equal">
      <formula>0</formula>
    </cfRule>
  </conditionalFormatting>
  <printOptions horizontalCentered="1"/>
  <pageMargins left="0.78740157480314965" right="0.78740157480314965" top="0.77" bottom="3.937007874015748E-2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15"/>
  <sheetViews>
    <sheetView showGridLines="0" workbookViewId="0">
      <selection activeCell="B44" sqref="B44:D46"/>
    </sheetView>
  </sheetViews>
  <sheetFormatPr baseColWidth="10" defaultColWidth="0" defaultRowHeight="12.75" zeroHeight="1"/>
  <cols>
    <col min="1" max="1" width="1.140625" style="148" customWidth="1"/>
    <col min="2" max="2" width="10.7109375" style="148" bestFit="1" customWidth="1"/>
    <col min="3" max="8" width="17.42578125" style="148" customWidth="1"/>
    <col min="9" max="9" width="3.42578125" style="148" customWidth="1"/>
    <col min="10" max="10" width="4.140625" style="148" customWidth="1"/>
    <col min="11" max="11" width="6" style="148" hidden="1"/>
    <col min="12" max="12" width="9.85546875" style="151" hidden="1"/>
    <col min="13" max="13" width="14" style="151" hidden="1"/>
    <col min="14" max="14" width="14.42578125" style="151" hidden="1"/>
    <col min="15" max="15" width="12.28515625" style="151" hidden="1"/>
    <col min="16" max="16" width="12.140625" style="151" hidden="1"/>
    <col min="17" max="18" width="11.7109375" style="151" hidden="1"/>
    <col min="19" max="19" width="15.28515625" style="151" hidden="1"/>
    <col min="20" max="20" width="16.85546875" style="151" hidden="1"/>
    <col min="21" max="21" width="6.140625" style="152" hidden="1"/>
    <col min="22" max="22" width="11.7109375" style="151" hidden="1"/>
    <col min="23" max="23" width="14.140625" style="151" hidden="1"/>
    <col min="24" max="24" width="14.42578125" style="151" hidden="1"/>
    <col min="25" max="26" width="11.7109375" style="151" hidden="1"/>
    <col min="27" max="27" width="12.28515625" style="151" hidden="1"/>
    <col min="28" max="28" width="16.5703125" style="153" hidden="1"/>
    <col min="29" max="16384" width="11.42578125" style="148" hidden="1"/>
  </cols>
  <sheetData>
    <row r="1" spans="1:28">
      <c r="H1" s="149"/>
      <c r="L1" s="150"/>
      <c r="M1" s="150"/>
      <c r="N1" s="150"/>
      <c r="O1" s="150"/>
    </row>
    <row r="2" spans="1:28">
      <c r="H2" s="149"/>
      <c r="L2" s="154"/>
      <c r="M2" s="154"/>
      <c r="N2" s="154"/>
      <c r="O2" s="154"/>
    </row>
    <row r="3" spans="1:28">
      <c r="H3" s="149"/>
      <c r="L3" s="154"/>
      <c r="M3" s="154"/>
      <c r="N3" s="154"/>
      <c r="O3" s="154"/>
    </row>
    <row r="4" spans="1:28">
      <c r="A4" s="155"/>
      <c r="B4" s="149"/>
      <c r="C4" s="149"/>
      <c r="D4" s="149"/>
      <c r="E4" s="149"/>
      <c r="F4" s="149"/>
      <c r="G4" s="149"/>
      <c r="H4" s="149"/>
      <c r="I4" s="149"/>
      <c r="J4" s="149"/>
      <c r="K4" s="149"/>
      <c r="M4" s="156"/>
      <c r="N4" s="157"/>
    </row>
    <row r="5" spans="1:28">
      <c r="A5" s="155"/>
      <c r="B5" s="149"/>
      <c r="C5" s="149"/>
      <c r="D5" s="149"/>
      <c r="E5" s="149"/>
      <c r="F5" s="149"/>
      <c r="G5" s="149"/>
      <c r="H5" s="149"/>
      <c r="I5" s="149"/>
      <c r="J5" s="149"/>
      <c r="K5" s="149"/>
      <c r="M5" s="156"/>
      <c r="N5" s="157"/>
    </row>
    <row r="6" spans="1:28" ht="23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49"/>
      <c r="K6" s="149"/>
      <c r="M6" s="156"/>
    </row>
    <row r="7" spans="1:28" ht="15.75">
      <c r="A7" s="158"/>
      <c r="B7" s="159"/>
      <c r="C7" s="159"/>
      <c r="D7" s="159"/>
      <c r="E7" s="159"/>
      <c r="F7" s="159"/>
      <c r="G7" s="159"/>
      <c r="H7" s="159"/>
      <c r="I7" s="159"/>
      <c r="J7" s="149"/>
      <c r="K7" s="149"/>
      <c r="L7" s="160"/>
    </row>
    <row r="8" spans="1:28">
      <c r="A8" s="155"/>
      <c r="B8" s="149"/>
      <c r="C8" s="37" t="s">
        <v>13</v>
      </c>
      <c r="D8" s="133">
        <v>10471920</v>
      </c>
      <c r="E8" s="18"/>
      <c r="F8" s="37" t="s">
        <v>15</v>
      </c>
      <c r="G8" s="134">
        <v>0.77</v>
      </c>
      <c r="H8" s="2"/>
      <c r="I8" s="149"/>
      <c r="J8" s="149"/>
      <c r="K8" s="149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2"/>
    </row>
    <row r="9" spans="1:28">
      <c r="A9" s="155"/>
      <c r="B9" s="149"/>
      <c r="C9" s="37" t="s">
        <v>14</v>
      </c>
      <c r="D9" s="135">
        <v>0.5</v>
      </c>
      <c r="E9" s="18"/>
      <c r="F9" s="37" t="s">
        <v>8</v>
      </c>
      <c r="G9" s="136">
        <f>+XNPV(G8,G37:G40,B37:B40)/H37</f>
        <v>0.75270506529929582</v>
      </c>
      <c r="H9" s="147"/>
      <c r="I9" s="149"/>
      <c r="J9" s="149"/>
      <c r="K9" s="149"/>
      <c r="L9" s="152"/>
      <c r="M9" s="152"/>
      <c r="N9" s="152"/>
      <c r="O9" s="152"/>
      <c r="P9" s="152"/>
      <c r="Q9" s="152"/>
      <c r="R9" s="152"/>
      <c r="S9" s="152"/>
      <c r="T9" s="152"/>
      <c r="V9" s="152"/>
      <c r="W9" s="152"/>
    </row>
    <row r="10" spans="1:28">
      <c r="A10" s="155"/>
      <c r="B10" s="149"/>
      <c r="C10" s="37" t="s">
        <v>10</v>
      </c>
      <c r="D10" s="38">
        <v>0.03</v>
      </c>
      <c r="E10" s="18"/>
      <c r="F10" s="137" t="s">
        <v>11</v>
      </c>
      <c r="G10" s="138">
        <f>+T33</f>
        <v>11.014332500517686</v>
      </c>
      <c r="H10" s="23"/>
      <c r="I10" s="163"/>
      <c r="J10" s="149"/>
      <c r="K10" s="149"/>
      <c r="L10" s="152"/>
      <c r="O10" s="164" t="s">
        <v>13</v>
      </c>
      <c r="P10" s="165">
        <f>+D8</f>
        <v>10471920</v>
      </c>
      <c r="Q10" s="166"/>
      <c r="R10" s="166"/>
      <c r="S10" s="166"/>
      <c r="T10" s="166"/>
      <c r="U10" s="167"/>
      <c r="V10" s="152"/>
      <c r="W10" s="152"/>
      <c r="X10" s="168"/>
    </row>
    <row r="11" spans="1:28">
      <c r="A11" s="155"/>
      <c r="B11" s="149"/>
      <c r="C11" s="139" t="s">
        <v>1</v>
      </c>
      <c r="D11" s="140">
        <f>+D9+D10</f>
        <v>0.53</v>
      </c>
      <c r="E11" s="18"/>
      <c r="F11" s="37" t="s">
        <v>12</v>
      </c>
      <c r="G11" s="40">
        <f>+XIRR(G18:G30,B18:B30)</f>
        <v>0.88373130559921265</v>
      </c>
      <c r="H11" s="31"/>
      <c r="I11" s="149"/>
      <c r="J11" s="149"/>
      <c r="K11" s="149"/>
      <c r="L11" s="152"/>
      <c r="O11" s="169" t="s">
        <v>15</v>
      </c>
      <c r="P11" s="170">
        <f>+G8</f>
        <v>0.77</v>
      </c>
      <c r="Q11" s="171"/>
      <c r="R11" s="171"/>
      <c r="S11" s="171"/>
      <c r="T11" s="171"/>
      <c r="U11" s="171"/>
      <c r="V11" s="152"/>
      <c r="W11" s="152"/>
      <c r="X11" s="168"/>
    </row>
    <row r="12" spans="1:28">
      <c r="A12" s="155"/>
      <c r="B12" s="149"/>
      <c r="C12" s="37" t="s">
        <v>20</v>
      </c>
      <c r="D12" s="38">
        <v>0.28000000000000003</v>
      </c>
      <c r="E12" s="18"/>
      <c r="F12" s="37" t="s">
        <v>17</v>
      </c>
      <c r="G12" s="40">
        <f>+((1+G11)^(1/12)-1)*12</f>
        <v>0.65026118539947664</v>
      </c>
      <c r="H12" s="31"/>
      <c r="I12" s="149"/>
      <c r="J12" s="149"/>
      <c r="K12" s="149"/>
      <c r="L12" s="152"/>
      <c r="O12" s="172"/>
      <c r="P12" s="171"/>
      <c r="Q12" s="171"/>
      <c r="R12" s="171"/>
      <c r="S12" s="171"/>
      <c r="T12" s="171"/>
      <c r="U12" s="171"/>
      <c r="V12" s="152"/>
      <c r="W12" s="152"/>
      <c r="X12" s="168"/>
    </row>
    <row r="13" spans="1:28">
      <c r="A13" s="155"/>
      <c r="B13" s="149"/>
      <c r="C13" s="37" t="s">
        <v>21</v>
      </c>
      <c r="D13" s="38">
        <v>0.38</v>
      </c>
      <c r="E13" s="18"/>
      <c r="F13" s="37" t="s">
        <v>19</v>
      </c>
      <c r="G13" s="40">
        <f>+(G12-D9)</f>
        <v>0.15026118539947664</v>
      </c>
      <c r="H13" s="31"/>
      <c r="I13" s="149"/>
      <c r="J13" s="149"/>
      <c r="K13" s="149"/>
      <c r="L13" s="152"/>
      <c r="O13" s="172"/>
      <c r="P13" s="171"/>
      <c r="Q13" s="171"/>
      <c r="R13" s="171"/>
      <c r="S13" s="171"/>
      <c r="T13" s="171"/>
      <c r="U13" s="171"/>
      <c r="V13" s="152"/>
      <c r="W13" s="152"/>
      <c r="X13" s="168"/>
    </row>
    <row r="14" spans="1:28">
      <c r="A14" s="155"/>
      <c r="B14" s="149"/>
      <c r="C14" s="37"/>
      <c r="D14" s="38"/>
      <c r="E14" s="18"/>
      <c r="F14" s="37" t="s">
        <v>17</v>
      </c>
      <c r="G14" s="40">
        <f>+((1+G8)^(1/12)-1)*12</f>
        <v>0.58478165318702402</v>
      </c>
      <c r="H14" s="39" t="s">
        <v>23</v>
      </c>
      <c r="I14" s="149"/>
      <c r="J14" s="149"/>
      <c r="K14" s="149"/>
      <c r="L14" s="152"/>
      <c r="O14" s="172"/>
      <c r="P14" s="171"/>
      <c r="Q14" s="171"/>
      <c r="R14" s="171"/>
      <c r="S14" s="171"/>
      <c r="T14" s="171"/>
      <c r="U14" s="171"/>
      <c r="V14" s="152"/>
      <c r="W14" s="152"/>
      <c r="X14" s="168"/>
    </row>
    <row r="15" spans="1:28">
      <c r="A15" s="155"/>
      <c r="B15" s="149"/>
      <c r="C15" s="37"/>
      <c r="D15" s="38"/>
      <c r="E15" s="18"/>
      <c r="F15" s="37"/>
      <c r="G15" s="40"/>
      <c r="H15" s="39"/>
      <c r="I15" s="149"/>
      <c r="J15" s="149"/>
      <c r="K15" s="149"/>
      <c r="L15" s="152"/>
      <c r="O15" s="172"/>
      <c r="P15" s="171"/>
      <c r="Q15" s="171"/>
      <c r="R15" s="171"/>
      <c r="S15" s="171"/>
      <c r="T15" s="171"/>
      <c r="U15" s="171"/>
      <c r="V15" s="152"/>
      <c r="W15" s="152"/>
      <c r="X15" s="168"/>
    </row>
    <row r="16" spans="1:28">
      <c r="A16" s="155"/>
      <c r="B16" s="106" t="s">
        <v>32</v>
      </c>
      <c r="C16" s="104"/>
      <c r="D16" s="104"/>
      <c r="E16" s="104"/>
      <c r="F16" s="104"/>
      <c r="G16" s="104"/>
      <c r="H16" s="112"/>
      <c r="I16" s="149"/>
      <c r="J16" s="149"/>
      <c r="K16" s="149"/>
      <c r="L16" s="152"/>
      <c r="M16" s="152"/>
      <c r="N16" s="173" t="s">
        <v>22</v>
      </c>
      <c r="O16" s="173"/>
      <c r="P16" s="173"/>
      <c r="Q16" s="173"/>
      <c r="R16" s="174"/>
      <c r="S16" s="174"/>
      <c r="T16" s="174"/>
      <c r="U16" s="174"/>
      <c r="V16" s="148"/>
      <c r="W16" s="148"/>
      <c r="X16" s="148"/>
      <c r="Y16" s="148"/>
      <c r="Z16" s="148"/>
      <c r="AA16" s="148"/>
      <c r="AB16" s="148"/>
    </row>
    <row r="17" spans="1:28" ht="15" customHeight="1">
      <c r="A17" s="175"/>
      <c r="B17" s="115" t="s">
        <v>0</v>
      </c>
      <c r="C17" s="116" t="s">
        <v>37</v>
      </c>
      <c r="D17" s="116" t="s">
        <v>7</v>
      </c>
      <c r="E17" s="117" t="s">
        <v>2</v>
      </c>
      <c r="F17" s="109" t="s">
        <v>16</v>
      </c>
      <c r="G17" s="117" t="s">
        <v>5</v>
      </c>
      <c r="H17" s="117" t="s">
        <v>9</v>
      </c>
      <c r="I17" s="176"/>
      <c r="J17" s="177"/>
      <c r="K17" s="177"/>
      <c r="L17" s="178" t="s">
        <v>0</v>
      </c>
      <c r="M17" s="179" t="s">
        <v>24</v>
      </c>
      <c r="N17" s="179" t="s">
        <v>27</v>
      </c>
      <c r="O17" s="178" t="s">
        <v>4</v>
      </c>
      <c r="P17" s="178" t="s">
        <v>25</v>
      </c>
      <c r="Q17" s="178" t="s">
        <v>26</v>
      </c>
      <c r="R17" s="180" t="s">
        <v>4</v>
      </c>
      <c r="S17" s="180" t="s">
        <v>28</v>
      </c>
      <c r="T17" s="180" t="s">
        <v>6</v>
      </c>
      <c r="U17" s="180"/>
      <c r="V17" s="148"/>
      <c r="W17" s="148"/>
      <c r="X17" s="148"/>
      <c r="Y17" s="148"/>
      <c r="Z17" s="148"/>
      <c r="AA17" s="148"/>
      <c r="AB17" s="148"/>
    </row>
    <row r="18" spans="1:28">
      <c r="A18" s="155"/>
      <c r="B18" s="124">
        <f>+'FF CREDINET VDF A'!B18</f>
        <v>43413</v>
      </c>
      <c r="C18" s="125"/>
      <c r="D18" s="126"/>
      <c r="E18" s="127"/>
      <c r="F18" s="127"/>
      <c r="G18" s="128">
        <f>+D8*G9*-1</f>
        <v>-7882267.2274090014</v>
      </c>
      <c r="H18" s="127">
        <f>+D8</f>
        <v>10471920</v>
      </c>
      <c r="I18" s="181"/>
      <c r="J18" s="149"/>
      <c r="K18" s="149"/>
      <c r="L18" s="182">
        <f>+B18</f>
        <v>43413</v>
      </c>
      <c r="M18" s="183"/>
      <c r="N18" s="184">
        <v>43404</v>
      </c>
      <c r="O18" s="185"/>
      <c r="P18" s="186"/>
      <c r="Q18" s="182"/>
      <c r="R18" s="187">
        <f>+L18-$B$18</f>
        <v>0</v>
      </c>
      <c r="S18" s="188"/>
      <c r="T18" s="188"/>
      <c r="U18" s="188"/>
      <c r="V18" s="148"/>
      <c r="W18" s="148"/>
      <c r="X18" s="148"/>
      <c r="Y18" s="148"/>
      <c r="Z18" s="148"/>
      <c r="AA18" s="148"/>
      <c r="AB18" s="148"/>
    </row>
    <row r="19" spans="1:28">
      <c r="A19" s="189"/>
      <c r="B19" s="124">
        <v>43459</v>
      </c>
      <c r="C19" s="190">
        <f t="shared" ref="C19:C30" si="0">IF($D$11&lt;$D$12,$D$12,IF($D$11&gt;$D$13,$D$13,$D$11))</f>
        <v>0.38</v>
      </c>
      <c r="D19" s="71">
        <f>+E19/$H$18</f>
        <v>0</v>
      </c>
      <c r="E19" s="128">
        <f>+IF(H18&gt;0,MIN(M19-F19,H18),0)</f>
        <v>0</v>
      </c>
      <c r="F19" s="130">
        <f>+MIN($M19,Q18+P19)</f>
        <v>0</v>
      </c>
      <c r="G19" s="127">
        <f t="shared" ref="G19:G30" si="1">+E19+F19</f>
        <v>0</v>
      </c>
      <c r="H19" s="127">
        <f>+H18-E19</f>
        <v>10471920</v>
      </c>
      <c r="I19" s="191"/>
      <c r="J19" s="149"/>
      <c r="K19" s="149"/>
      <c r="L19" s="192">
        <v>43459</v>
      </c>
      <c r="M19" s="193">
        <v>0</v>
      </c>
      <c r="N19" s="194">
        <v>43434</v>
      </c>
      <c r="O19" s="195">
        <v>30</v>
      </c>
      <c r="P19" s="196">
        <f>+H18*(C19)/360*O19</f>
        <v>331610.8</v>
      </c>
      <c r="Q19" s="196">
        <f t="shared" ref="Q19:Q30" si="2">+Q18+P19-F19</f>
        <v>331610.8</v>
      </c>
      <c r="R19" s="187">
        <f t="shared" ref="R19:R30" si="3">+L19-$B$18</f>
        <v>46</v>
      </c>
      <c r="S19" s="197">
        <f>+G19/(1+$G$8)^(R19/365)</f>
        <v>0</v>
      </c>
      <c r="T19" s="197">
        <f>+S19*R19</f>
        <v>0</v>
      </c>
      <c r="U19" s="197"/>
      <c r="V19" s="148"/>
      <c r="W19" s="148"/>
      <c r="X19" s="148"/>
      <c r="Y19" s="148"/>
      <c r="Z19" s="148"/>
      <c r="AA19" s="148"/>
      <c r="AB19" s="148"/>
    </row>
    <row r="20" spans="1:28">
      <c r="A20" s="189"/>
      <c r="B20" s="124">
        <v>43490</v>
      </c>
      <c r="C20" s="190">
        <f t="shared" si="0"/>
        <v>0.38</v>
      </c>
      <c r="D20" s="71">
        <f t="shared" ref="D20:D30" si="4">+E20/$H$18</f>
        <v>0</v>
      </c>
      <c r="E20" s="128">
        <f t="shared" ref="E20:E30" si="5">+IF(H19&gt;0,MIN(M20-F20,H19),0)</f>
        <v>0</v>
      </c>
      <c r="F20" s="130">
        <f>+MIN($M20,Q19+P20)</f>
        <v>0</v>
      </c>
      <c r="G20" s="127">
        <f t="shared" si="1"/>
        <v>0</v>
      </c>
      <c r="H20" s="127">
        <f t="shared" ref="H20:H30" si="6">+H19-E20</f>
        <v>10471920</v>
      </c>
      <c r="I20" s="191"/>
      <c r="J20" s="149"/>
      <c r="K20" s="149"/>
      <c r="L20" s="192">
        <v>43490</v>
      </c>
      <c r="M20" s="193">
        <v>0</v>
      </c>
      <c r="N20" s="194">
        <v>43465</v>
      </c>
      <c r="O20" s="195">
        <v>30</v>
      </c>
      <c r="P20" s="196">
        <f>+H19*(C20)/360*O20</f>
        <v>331610.8</v>
      </c>
      <c r="Q20" s="196">
        <f t="shared" si="2"/>
        <v>663221.6</v>
      </c>
      <c r="R20" s="187">
        <f t="shared" si="3"/>
        <v>77</v>
      </c>
      <c r="S20" s="197">
        <f t="shared" ref="S20:S30" si="7">+G20/(1+$G$8)^(R20/365)</f>
        <v>0</v>
      </c>
      <c r="T20" s="197">
        <f t="shared" ref="T20:T30" si="8">+S20*R20</f>
        <v>0</v>
      </c>
      <c r="U20" s="197"/>
      <c r="V20" s="148"/>
      <c r="W20" s="148"/>
      <c r="X20" s="148"/>
      <c r="Y20" s="148"/>
      <c r="Z20" s="148"/>
      <c r="AA20" s="148"/>
      <c r="AB20" s="148"/>
    </row>
    <row r="21" spans="1:28">
      <c r="A21" s="189"/>
      <c r="B21" s="124">
        <v>43521</v>
      </c>
      <c r="C21" s="190">
        <f t="shared" si="0"/>
        <v>0.38</v>
      </c>
      <c r="D21" s="71">
        <f t="shared" si="4"/>
        <v>0</v>
      </c>
      <c r="E21" s="128">
        <f t="shared" si="5"/>
        <v>0</v>
      </c>
      <c r="F21" s="130">
        <f>+MIN($M21,Q20+P21)</f>
        <v>0</v>
      </c>
      <c r="G21" s="127">
        <f t="shared" si="1"/>
        <v>0</v>
      </c>
      <c r="H21" s="127">
        <f t="shared" si="6"/>
        <v>10471920</v>
      </c>
      <c r="I21" s="191"/>
      <c r="J21" s="149"/>
      <c r="K21" s="149"/>
      <c r="L21" s="192">
        <v>43521</v>
      </c>
      <c r="M21" s="193">
        <v>0</v>
      </c>
      <c r="N21" s="194">
        <v>43496</v>
      </c>
      <c r="O21" s="195">
        <v>30</v>
      </c>
      <c r="P21" s="196">
        <f t="shared" ref="P21:P30" si="9">+H20*(C21)/360*O21</f>
        <v>331610.8</v>
      </c>
      <c r="Q21" s="196">
        <f t="shared" si="2"/>
        <v>994832.39999999991</v>
      </c>
      <c r="R21" s="187">
        <f t="shared" si="3"/>
        <v>108</v>
      </c>
      <c r="S21" s="197">
        <f t="shared" si="7"/>
        <v>0</v>
      </c>
      <c r="T21" s="197">
        <f t="shared" si="8"/>
        <v>0</v>
      </c>
      <c r="U21" s="197"/>
      <c r="V21" s="148"/>
      <c r="W21" s="148"/>
      <c r="X21" s="148"/>
      <c r="Y21" s="148"/>
      <c r="Z21" s="148"/>
      <c r="AA21" s="148"/>
      <c r="AB21" s="148"/>
    </row>
    <row r="22" spans="1:28">
      <c r="A22" s="189"/>
      <c r="B22" s="124">
        <v>43549</v>
      </c>
      <c r="C22" s="190">
        <f t="shared" si="0"/>
        <v>0.38</v>
      </c>
      <c r="D22" s="71">
        <f t="shared" si="4"/>
        <v>0</v>
      </c>
      <c r="E22" s="128">
        <f t="shared" si="5"/>
        <v>0</v>
      </c>
      <c r="F22" s="130">
        <f t="shared" ref="F22:F30" si="10">+MIN($M22,Q21+P22)</f>
        <v>0</v>
      </c>
      <c r="G22" s="127">
        <f t="shared" si="1"/>
        <v>0</v>
      </c>
      <c r="H22" s="127">
        <f t="shared" si="6"/>
        <v>10471920</v>
      </c>
      <c r="I22" s="191"/>
      <c r="J22" s="149"/>
      <c r="K22" s="149"/>
      <c r="L22" s="192">
        <v>43549</v>
      </c>
      <c r="M22" s="193">
        <v>0</v>
      </c>
      <c r="N22" s="194">
        <v>43524</v>
      </c>
      <c r="O22" s="195">
        <v>30</v>
      </c>
      <c r="P22" s="196">
        <f t="shared" si="9"/>
        <v>331610.8</v>
      </c>
      <c r="Q22" s="196">
        <f t="shared" si="2"/>
        <v>1326443.2</v>
      </c>
      <c r="R22" s="187">
        <f t="shared" si="3"/>
        <v>136</v>
      </c>
      <c r="S22" s="197">
        <f t="shared" si="7"/>
        <v>0</v>
      </c>
      <c r="T22" s="197">
        <f t="shared" si="8"/>
        <v>0</v>
      </c>
      <c r="U22" s="197"/>
      <c r="V22" s="148"/>
      <c r="W22" s="148"/>
      <c r="X22" s="148"/>
      <c r="Y22" s="148"/>
      <c r="Z22" s="148"/>
      <c r="AA22" s="148"/>
      <c r="AB22" s="148"/>
    </row>
    <row r="23" spans="1:28">
      <c r="A23" s="189"/>
      <c r="B23" s="124">
        <v>43580</v>
      </c>
      <c r="C23" s="190">
        <f t="shared" si="0"/>
        <v>0.38</v>
      </c>
      <c r="D23" s="71">
        <f t="shared" si="4"/>
        <v>0</v>
      </c>
      <c r="E23" s="128">
        <f t="shared" si="5"/>
        <v>0</v>
      </c>
      <c r="F23" s="130">
        <f t="shared" si="10"/>
        <v>0</v>
      </c>
      <c r="G23" s="127">
        <f t="shared" si="1"/>
        <v>0</v>
      </c>
      <c r="H23" s="127">
        <f t="shared" si="6"/>
        <v>10471920</v>
      </c>
      <c r="I23" s="191"/>
      <c r="J23" s="149"/>
      <c r="K23" s="149"/>
      <c r="L23" s="192">
        <v>43580</v>
      </c>
      <c r="M23" s="193">
        <v>0</v>
      </c>
      <c r="N23" s="194">
        <v>43555</v>
      </c>
      <c r="O23" s="195">
        <v>30</v>
      </c>
      <c r="P23" s="196">
        <f t="shared" si="9"/>
        <v>331610.8</v>
      </c>
      <c r="Q23" s="196">
        <f t="shared" si="2"/>
        <v>1658054</v>
      </c>
      <c r="R23" s="187">
        <f t="shared" si="3"/>
        <v>167</v>
      </c>
      <c r="S23" s="197">
        <f t="shared" si="7"/>
        <v>0</v>
      </c>
      <c r="T23" s="197">
        <f t="shared" si="8"/>
        <v>0</v>
      </c>
      <c r="U23" s="197"/>
      <c r="V23" s="197"/>
      <c r="AB23" s="151"/>
    </row>
    <row r="24" spans="1:28">
      <c r="A24" s="189"/>
      <c r="B24" s="124">
        <v>43612</v>
      </c>
      <c r="C24" s="190">
        <f t="shared" si="0"/>
        <v>0.38</v>
      </c>
      <c r="D24" s="71">
        <f t="shared" si="4"/>
        <v>0</v>
      </c>
      <c r="E24" s="128">
        <f t="shared" si="5"/>
        <v>0</v>
      </c>
      <c r="F24" s="130">
        <f t="shared" si="10"/>
        <v>0</v>
      </c>
      <c r="G24" s="127">
        <f t="shared" si="1"/>
        <v>0</v>
      </c>
      <c r="H24" s="127">
        <f t="shared" si="6"/>
        <v>10471920</v>
      </c>
      <c r="I24" s="191"/>
      <c r="L24" s="198">
        <v>43612</v>
      </c>
      <c r="M24" s="193">
        <v>0</v>
      </c>
      <c r="N24" s="194">
        <v>43585</v>
      </c>
      <c r="O24" s="195">
        <v>30</v>
      </c>
      <c r="P24" s="196">
        <f t="shared" si="9"/>
        <v>331610.8</v>
      </c>
      <c r="Q24" s="196">
        <f t="shared" si="2"/>
        <v>1989664.8</v>
      </c>
      <c r="R24" s="187">
        <f t="shared" si="3"/>
        <v>199</v>
      </c>
      <c r="S24" s="197">
        <f t="shared" si="7"/>
        <v>0</v>
      </c>
      <c r="T24" s="197">
        <f t="shared" si="8"/>
        <v>0</v>
      </c>
      <c r="U24" s="197"/>
      <c r="V24" s="197"/>
      <c r="Z24" s="199"/>
      <c r="AB24" s="151"/>
    </row>
    <row r="25" spans="1:28">
      <c r="A25" s="155"/>
      <c r="B25" s="124">
        <v>43641</v>
      </c>
      <c r="C25" s="190">
        <f t="shared" si="0"/>
        <v>0.38</v>
      </c>
      <c r="D25" s="71">
        <f t="shared" si="4"/>
        <v>0</v>
      </c>
      <c r="E25" s="128">
        <f t="shared" si="5"/>
        <v>0</v>
      </c>
      <c r="F25" s="130">
        <f t="shared" si="10"/>
        <v>0</v>
      </c>
      <c r="G25" s="127">
        <f t="shared" si="1"/>
        <v>0</v>
      </c>
      <c r="H25" s="127">
        <f t="shared" si="6"/>
        <v>10471920</v>
      </c>
      <c r="I25" s="149"/>
      <c r="L25" s="198">
        <v>43641</v>
      </c>
      <c r="M25" s="193">
        <v>0</v>
      </c>
      <c r="N25" s="194">
        <v>43616</v>
      </c>
      <c r="O25" s="195">
        <v>30</v>
      </c>
      <c r="P25" s="196">
        <f t="shared" si="9"/>
        <v>331610.8</v>
      </c>
      <c r="Q25" s="196">
        <f t="shared" si="2"/>
        <v>2321275.6</v>
      </c>
      <c r="R25" s="187">
        <f t="shared" si="3"/>
        <v>228</v>
      </c>
      <c r="S25" s="197">
        <f t="shared" si="7"/>
        <v>0</v>
      </c>
      <c r="T25" s="197">
        <f t="shared" si="8"/>
        <v>0</v>
      </c>
      <c r="U25" s="197"/>
      <c r="V25" s="197"/>
    </row>
    <row r="26" spans="1:28">
      <c r="A26" s="149"/>
      <c r="B26" s="124">
        <v>43671</v>
      </c>
      <c r="C26" s="190">
        <f t="shared" si="0"/>
        <v>0.38</v>
      </c>
      <c r="D26" s="71">
        <f t="shared" si="4"/>
        <v>0</v>
      </c>
      <c r="E26" s="128">
        <f t="shared" si="5"/>
        <v>0</v>
      </c>
      <c r="F26" s="130">
        <f t="shared" si="10"/>
        <v>0</v>
      </c>
      <c r="G26" s="127">
        <f t="shared" si="1"/>
        <v>0</v>
      </c>
      <c r="H26" s="127">
        <f t="shared" si="6"/>
        <v>10471920</v>
      </c>
      <c r="I26" s="149"/>
      <c r="L26" s="198">
        <v>43671</v>
      </c>
      <c r="M26" s="193">
        <v>0</v>
      </c>
      <c r="N26" s="194">
        <v>43646</v>
      </c>
      <c r="O26" s="195">
        <v>30</v>
      </c>
      <c r="P26" s="196">
        <f t="shared" si="9"/>
        <v>331610.8</v>
      </c>
      <c r="Q26" s="196">
        <f t="shared" si="2"/>
        <v>2652886.4</v>
      </c>
      <c r="R26" s="187">
        <f t="shared" si="3"/>
        <v>258</v>
      </c>
      <c r="S26" s="197">
        <f t="shared" si="7"/>
        <v>0</v>
      </c>
      <c r="T26" s="197">
        <f t="shared" si="8"/>
        <v>0</v>
      </c>
      <c r="U26" s="197"/>
      <c r="V26" s="197"/>
    </row>
    <row r="27" spans="1:28">
      <c r="B27" s="124">
        <v>43703</v>
      </c>
      <c r="C27" s="190">
        <f t="shared" si="0"/>
        <v>0.38</v>
      </c>
      <c r="D27" s="71">
        <f t="shared" si="4"/>
        <v>0</v>
      </c>
      <c r="E27" s="128">
        <f t="shared" si="5"/>
        <v>0</v>
      </c>
      <c r="F27" s="130">
        <f t="shared" si="10"/>
        <v>1457903.3217969169</v>
      </c>
      <c r="G27" s="127">
        <f t="shared" si="1"/>
        <v>1457903.3217969169</v>
      </c>
      <c r="H27" s="127">
        <f t="shared" si="6"/>
        <v>10471920</v>
      </c>
      <c r="L27" s="198">
        <v>43703</v>
      </c>
      <c r="M27" s="193">
        <f>5161677-'FF CREDINET VDF A'!G27</f>
        <v>1457903.3217969169</v>
      </c>
      <c r="N27" s="194">
        <v>43677</v>
      </c>
      <c r="O27" s="195">
        <v>30</v>
      </c>
      <c r="P27" s="196">
        <f t="shared" si="9"/>
        <v>331610.8</v>
      </c>
      <c r="Q27" s="196">
        <f t="shared" si="2"/>
        <v>1526593.8782030828</v>
      </c>
      <c r="R27" s="187">
        <f t="shared" si="3"/>
        <v>290</v>
      </c>
      <c r="S27" s="197">
        <f t="shared" si="7"/>
        <v>926208.72977563448</v>
      </c>
      <c r="T27" s="197">
        <f t="shared" si="8"/>
        <v>268600531.63493401</v>
      </c>
      <c r="U27" s="197"/>
      <c r="V27" s="197"/>
    </row>
    <row r="28" spans="1:28">
      <c r="B28" s="124">
        <v>43733</v>
      </c>
      <c r="C28" s="190">
        <f t="shared" si="0"/>
        <v>0.38</v>
      </c>
      <c r="D28" s="71">
        <f t="shared" si="4"/>
        <v>0.42867719785836</v>
      </c>
      <c r="E28" s="128">
        <f t="shared" si="5"/>
        <v>4489073.3217969174</v>
      </c>
      <c r="F28" s="130">
        <f t="shared" si="10"/>
        <v>1858204.6782030829</v>
      </c>
      <c r="G28" s="127">
        <f t="shared" si="1"/>
        <v>6347278</v>
      </c>
      <c r="H28" s="127">
        <f t="shared" si="6"/>
        <v>5982846.6782030826</v>
      </c>
      <c r="L28" s="198">
        <v>43733</v>
      </c>
      <c r="M28" s="193">
        <v>6347278</v>
      </c>
      <c r="N28" s="194">
        <v>43708</v>
      </c>
      <c r="O28" s="195">
        <v>30</v>
      </c>
      <c r="P28" s="196">
        <f t="shared" si="9"/>
        <v>331610.8</v>
      </c>
      <c r="Q28" s="196">
        <f t="shared" si="2"/>
        <v>0</v>
      </c>
      <c r="R28" s="187">
        <f t="shared" si="3"/>
        <v>320</v>
      </c>
      <c r="S28" s="197">
        <f t="shared" si="7"/>
        <v>3847567.9662616285</v>
      </c>
      <c r="T28" s="197">
        <f t="shared" si="8"/>
        <v>1231221749.203721</v>
      </c>
      <c r="U28" s="197"/>
      <c r="V28" s="197"/>
    </row>
    <row r="29" spans="1:28">
      <c r="B29" s="124">
        <v>43763</v>
      </c>
      <c r="C29" s="190">
        <f t="shared" si="0"/>
        <v>0.38</v>
      </c>
      <c r="D29" s="71">
        <f t="shared" si="4"/>
        <v>0.52906460214779805</v>
      </c>
      <c r="E29" s="128">
        <f t="shared" si="5"/>
        <v>5540322.1885235691</v>
      </c>
      <c r="F29" s="130">
        <f t="shared" si="10"/>
        <v>189456.81147643094</v>
      </c>
      <c r="G29" s="127">
        <f t="shared" si="1"/>
        <v>5729779</v>
      </c>
      <c r="H29" s="127">
        <f t="shared" si="6"/>
        <v>442524.4896795135</v>
      </c>
      <c r="L29" s="198">
        <v>43763</v>
      </c>
      <c r="M29" s="193">
        <v>5729779</v>
      </c>
      <c r="N29" s="194">
        <v>43738</v>
      </c>
      <c r="O29" s="195">
        <v>30</v>
      </c>
      <c r="P29" s="196">
        <f t="shared" si="9"/>
        <v>189456.81147643094</v>
      </c>
      <c r="Q29" s="196">
        <f t="shared" si="2"/>
        <v>0</v>
      </c>
      <c r="R29" s="187">
        <f t="shared" si="3"/>
        <v>350</v>
      </c>
      <c r="S29" s="197">
        <f t="shared" si="7"/>
        <v>3314021.2372759799</v>
      </c>
      <c r="T29" s="197">
        <f t="shared" si="8"/>
        <v>1159907433.046593</v>
      </c>
      <c r="U29" s="197"/>
      <c r="V29" s="197"/>
    </row>
    <row r="30" spans="1:28">
      <c r="B30" s="124">
        <v>43794</v>
      </c>
      <c r="C30" s="190">
        <f t="shared" si="0"/>
        <v>0.38</v>
      </c>
      <c r="D30" s="71">
        <f t="shared" si="4"/>
        <v>4.2258199993841963E-2</v>
      </c>
      <c r="E30" s="128">
        <f t="shared" si="5"/>
        <v>442524.4896795135</v>
      </c>
      <c r="F30" s="130">
        <f t="shared" si="10"/>
        <v>14013.275506517928</v>
      </c>
      <c r="G30" s="127">
        <f t="shared" si="1"/>
        <v>456537.76518603141</v>
      </c>
      <c r="H30" s="127">
        <f t="shared" si="6"/>
        <v>0</v>
      </c>
      <c r="L30" s="200">
        <v>43794</v>
      </c>
      <c r="M30" s="201">
        <v>4829417</v>
      </c>
      <c r="N30" s="202">
        <v>43769</v>
      </c>
      <c r="O30" s="203">
        <v>30</v>
      </c>
      <c r="P30" s="204">
        <f t="shared" si="9"/>
        <v>14013.275506517928</v>
      </c>
      <c r="Q30" s="204">
        <f t="shared" si="2"/>
        <v>0</v>
      </c>
      <c r="R30" s="187">
        <f t="shared" si="3"/>
        <v>381</v>
      </c>
      <c r="S30" s="197">
        <f t="shared" si="7"/>
        <v>251555.24748135314</v>
      </c>
      <c r="T30" s="197">
        <f t="shared" si="8"/>
        <v>95842549.290395543</v>
      </c>
      <c r="U30" s="197"/>
      <c r="V30" s="197"/>
    </row>
    <row r="31" spans="1:28">
      <c r="B31" s="118"/>
      <c r="C31" s="119"/>
      <c r="D31" s="120">
        <f>SUM(D19:D30)</f>
        <v>1</v>
      </c>
      <c r="E31" s="121">
        <f>SUM(E18:E30)</f>
        <v>10471920</v>
      </c>
      <c r="F31" s="122">
        <f>SUM(F18:F30)</f>
        <v>3519578.0869829487</v>
      </c>
      <c r="G31" s="121">
        <f>SUM(G19:G30)</f>
        <v>13991498.086982949</v>
      </c>
      <c r="H31" s="123"/>
      <c r="L31" s="168"/>
      <c r="M31" s="168"/>
      <c r="N31" s="168"/>
      <c r="O31" s="168"/>
      <c r="P31" s="168"/>
      <c r="Q31" s="168"/>
      <c r="R31" s="168"/>
      <c r="S31" s="205">
        <f>SUM(S19:S30)</f>
        <v>8339353.1807945967</v>
      </c>
      <c r="T31" s="205">
        <f>SUM(T19:T30)</f>
        <v>2755572263.1756439</v>
      </c>
      <c r="U31" s="206"/>
    </row>
    <row r="32" spans="1:28">
      <c r="B32" s="207"/>
      <c r="C32" s="208"/>
      <c r="D32" s="209"/>
      <c r="E32" s="210"/>
      <c r="F32" s="210"/>
      <c r="G32" s="210"/>
      <c r="H32" s="211"/>
      <c r="L32" s="168"/>
      <c r="M32" s="168"/>
      <c r="N32" s="168"/>
      <c r="O32" s="168"/>
      <c r="T32" s="212">
        <f>+T31/S31</f>
        <v>330.42997501553054</v>
      </c>
      <c r="V32" s="213"/>
    </row>
    <row r="33" spans="2:21">
      <c r="B33" s="207"/>
      <c r="C33" s="214"/>
      <c r="D33" s="214"/>
      <c r="E33" s="214"/>
      <c r="F33" s="214"/>
      <c r="G33" s="214"/>
      <c r="H33" s="214"/>
      <c r="P33" s="213"/>
      <c r="Q33" s="213"/>
      <c r="R33" s="213"/>
      <c r="S33" s="215" t="s">
        <v>6</v>
      </c>
      <c r="T33" s="216">
        <f>+T32/30</f>
        <v>11.014332500517686</v>
      </c>
      <c r="U33" s="217"/>
    </row>
    <row r="34" spans="2:21" ht="15">
      <c r="B34" s="89" t="s">
        <v>39</v>
      </c>
      <c r="C34" s="89"/>
      <c r="D34" s="89"/>
      <c r="E34" s="89"/>
      <c r="F34" s="89"/>
      <c r="G34" s="89"/>
      <c r="H34" s="89"/>
      <c r="O34" s="213"/>
      <c r="P34" s="213"/>
      <c r="Q34" s="213"/>
      <c r="R34" s="213"/>
      <c r="S34" s="213"/>
      <c r="T34" s="213"/>
      <c r="U34" s="217"/>
    </row>
    <row r="35" spans="2:21">
      <c r="B35" s="106" t="s">
        <v>32</v>
      </c>
      <c r="C35" s="104"/>
      <c r="D35" s="104"/>
      <c r="E35" s="104"/>
      <c r="F35" s="104"/>
      <c r="G35" s="104"/>
      <c r="H35" s="112"/>
      <c r="O35" s="213"/>
      <c r="P35" s="213"/>
      <c r="Q35" s="213"/>
      <c r="R35" s="213"/>
      <c r="S35" s="213"/>
      <c r="T35" s="213"/>
      <c r="U35" s="217"/>
    </row>
    <row r="36" spans="2:21">
      <c r="B36" s="115" t="s">
        <v>0</v>
      </c>
      <c r="C36" s="116" t="s">
        <v>38</v>
      </c>
      <c r="D36" s="116" t="s">
        <v>7</v>
      </c>
      <c r="E36" s="117" t="s">
        <v>2</v>
      </c>
      <c r="F36" s="109" t="s">
        <v>3</v>
      </c>
      <c r="G36" s="117" t="s">
        <v>5</v>
      </c>
      <c r="H36" s="117" t="s">
        <v>9</v>
      </c>
      <c r="O36" s="213"/>
      <c r="P36" s="213"/>
      <c r="Q36" s="213"/>
      <c r="R36" s="213"/>
      <c r="S36" s="213"/>
      <c r="T36" s="213"/>
      <c r="U36" s="217"/>
    </row>
    <row r="37" spans="2:21">
      <c r="B37" s="124">
        <f>+B18</f>
        <v>43413</v>
      </c>
      <c r="C37" s="218"/>
      <c r="D37" s="219"/>
      <c r="E37" s="220"/>
      <c r="F37" s="220"/>
      <c r="G37" s="78">
        <v>0</v>
      </c>
      <c r="H37" s="220">
        <f>+P10</f>
        <v>10471920</v>
      </c>
      <c r="O37" s="213"/>
      <c r="P37" s="213"/>
      <c r="Q37" s="213"/>
      <c r="R37" s="213"/>
      <c r="S37" s="213"/>
      <c r="T37" s="213"/>
      <c r="U37" s="217"/>
    </row>
    <row r="38" spans="2:21">
      <c r="B38" s="124">
        <v>43703</v>
      </c>
      <c r="C38" s="221">
        <v>0.28000000000000003</v>
      </c>
      <c r="D38" s="222">
        <v>0.16668146815483695</v>
      </c>
      <c r="E38" s="78">
        <f>+$P$10*D38</f>
        <v>1745475.0000000002</v>
      </c>
      <c r="F38" s="78">
        <f>+H37*C38/12*9</f>
        <v>2199103.2000000002</v>
      </c>
      <c r="G38" s="220">
        <f>+E38+F38</f>
        <v>3944578.2</v>
      </c>
      <c r="H38" s="220">
        <f>+H37-E38</f>
        <v>8726445</v>
      </c>
      <c r="O38" s="213"/>
      <c r="P38" s="213"/>
      <c r="Q38" s="213"/>
      <c r="R38" s="213"/>
      <c r="S38" s="213"/>
      <c r="T38" s="213"/>
      <c r="U38" s="217"/>
    </row>
    <row r="39" spans="2:21">
      <c r="B39" s="124">
        <v>43733</v>
      </c>
      <c r="C39" s="221">
        <v>0.28000000000000003</v>
      </c>
      <c r="D39" s="222">
        <v>0.58667952008800683</v>
      </c>
      <c r="E39" s="78">
        <f t="shared" ref="E39" si="11">+$P$10*D39</f>
        <v>6143661.0000000009</v>
      </c>
      <c r="F39" s="78">
        <f>+H38*C39/12*1</f>
        <v>203617.05000000002</v>
      </c>
      <c r="G39" s="220">
        <f t="shared" ref="G39" si="12">+E39+F39</f>
        <v>6347278.0500000007</v>
      </c>
      <c r="H39" s="220">
        <f t="shared" ref="H39" si="13">+H38-E39</f>
        <v>2582783.9999999991</v>
      </c>
      <c r="O39" s="213"/>
      <c r="P39" s="213"/>
      <c r="Q39" s="213"/>
      <c r="R39" s="213"/>
      <c r="S39" s="213"/>
      <c r="T39" s="213"/>
      <c r="U39" s="217"/>
    </row>
    <row r="40" spans="2:21">
      <c r="B40" s="124">
        <v>43763</v>
      </c>
      <c r="C40" s="221">
        <v>0.28000000000000003</v>
      </c>
      <c r="D40" s="222">
        <v>0.24663901175715627</v>
      </c>
      <c r="E40" s="78">
        <f t="shared" ref="E40" si="14">+$P$10*D40</f>
        <v>2582784</v>
      </c>
      <c r="F40" s="78">
        <f>+H39*C40/12*1</f>
        <v>60264.959999999985</v>
      </c>
      <c r="G40" s="220">
        <f t="shared" ref="G40" si="15">+E40+F40</f>
        <v>2643048.96</v>
      </c>
      <c r="H40" s="220">
        <f t="shared" ref="H40" si="16">+H39-E40</f>
        <v>0</v>
      </c>
    </row>
    <row r="41" spans="2:21">
      <c r="B41" s="118"/>
      <c r="C41" s="119"/>
      <c r="D41" s="120">
        <f>SUM(D38:D40)</f>
        <v>1</v>
      </c>
      <c r="E41" s="121">
        <f>SUM(E37:E40)</f>
        <v>10471920</v>
      </c>
      <c r="F41" s="122">
        <f>SUM(F37:F40)</f>
        <v>2462985.21</v>
      </c>
      <c r="G41" s="121">
        <f>SUM(G37:G40)</f>
        <v>12934905.210000001</v>
      </c>
      <c r="H41" s="123"/>
    </row>
    <row r="42" spans="2:21">
      <c r="D42" s="223"/>
      <c r="E42" s="224"/>
      <c r="F42" s="224"/>
    </row>
    <row r="43" spans="2:21" ht="12.75" customHeight="1">
      <c r="B43" s="95" t="s">
        <v>40</v>
      </c>
      <c r="C43" s="101"/>
      <c r="D43" s="102"/>
      <c r="E43" s="224"/>
      <c r="F43" s="224"/>
    </row>
    <row r="44" spans="2:21" ht="12.75" customHeight="1">
      <c r="B44" s="96" t="s">
        <v>41</v>
      </c>
      <c r="C44" s="97"/>
      <c r="D44" s="141"/>
      <c r="E44" s="224"/>
      <c r="F44" s="224"/>
    </row>
    <row r="45" spans="2:21">
      <c r="B45" s="142"/>
      <c r="C45" s="98"/>
      <c r="D45" s="143"/>
      <c r="E45" s="224"/>
      <c r="F45" s="224"/>
    </row>
    <row r="46" spans="2:21">
      <c r="B46" s="144"/>
      <c r="C46" s="145"/>
      <c r="D46" s="146"/>
      <c r="E46" s="224"/>
      <c r="F46" s="224"/>
    </row>
    <row r="47" spans="2:21">
      <c r="D47" s="225"/>
      <c r="E47" s="224"/>
      <c r="F47" s="224"/>
    </row>
    <row r="48" spans="2:21" hidden="1">
      <c r="D48" s="225"/>
      <c r="E48" s="224"/>
      <c r="F48" s="224"/>
    </row>
    <row r="49" spans="4:6" hidden="1">
      <c r="D49" s="225"/>
      <c r="E49" s="224"/>
      <c r="F49" s="224"/>
    </row>
    <row r="50" spans="4:6" hidden="1">
      <c r="D50" s="225"/>
      <c r="E50" s="224"/>
      <c r="F50" s="224"/>
    </row>
    <row r="51" spans="4:6" hidden="1">
      <c r="D51" s="225"/>
      <c r="E51" s="224"/>
      <c r="F51" s="226"/>
    </row>
    <row r="52" spans="4:6" hidden="1">
      <c r="D52" s="225"/>
      <c r="E52" s="224"/>
    </row>
    <row r="53" spans="4:6" hidden="1">
      <c r="D53" s="225"/>
      <c r="E53" s="227"/>
    </row>
    <row r="54" spans="4:6" hidden="1">
      <c r="D54" s="227"/>
      <c r="E54" s="227"/>
    </row>
    <row r="55" spans="4:6" hidden="1">
      <c r="E55" s="227"/>
    </row>
    <row r="56" spans="4:6" hidden="1">
      <c r="E56" s="227"/>
    </row>
    <row r="57" spans="4:6" hidden="1">
      <c r="E57" s="227"/>
    </row>
    <row r="58" spans="4:6" hidden="1">
      <c r="E58" s="227"/>
    </row>
    <row r="59" spans="4:6" hidden="1">
      <c r="E59" s="227"/>
    </row>
    <row r="60" spans="4:6" hidden="1">
      <c r="E60" s="227"/>
    </row>
    <row r="61" spans="4:6" hidden="1">
      <c r="E61" s="227"/>
    </row>
    <row r="62" spans="4:6" hidden="1">
      <c r="E62" s="227"/>
    </row>
    <row r="63" spans="4:6" hidden="1">
      <c r="E63" s="227"/>
    </row>
    <row r="64" spans="4:6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</sheetData>
  <sheetProtection password="C0EE" sheet="1" objects="1" scenarios="1"/>
  <mergeCells count="9">
    <mergeCell ref="B43:D43"/>
    <mergeCell ref="B44:D46"/>
    <mergeCell ref="L1:O1"/>
    <mergeCell ref="A6:I6"/>
    <mergeCell ref="L8:V8"/>
    <mergeCell ref="N16:Q16"/>
    <mergeCell ref="B16:H16"/>
    <mergeCell ref="B34:H34"/>
    <mergeCell ref="B35:H35"/>
  </mergeCells>
  <conditionalFormatting sqref="E38:E40 E19:E30 E31:G32 E41:G41">
    <cfRule type="cellIs" dxfId="6" priority="6" stopIfTrue="1" operator="equal">
      <formula>0</formula>
    </cfRule>
  </conditionalFormatting>
  <conditionalFormatting sqref="E31:G31">
    <cfRule type="cellIs" dxfId="4" priority="2" stopIfTrue="1" operator="equal">
      <formula>0</formula>
    </cfRule>
  </conditionalFormatting>
  <conditionalFormatting sqref="E41:G41">
    <cfRule type="cellIs" dxfId="3" priority="1" stopIfTrue="1" operator="equal">
      <formula>0</formula>
    </cfRule>
  </conditionalFormatting>
  <printOptions horizontalCentered="1"/>
  <pageMargins left="0.78740157480314965" right="0.78740157480314965" top="0.77" bottom="3.937007874015748E-2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24"/>
  <sheetViews>
    <sheetView showGridLines="0" tabSelected="1" workbookViewId="0">
      <selection activeCell="F25" sqref="F25"/>
    </sheetView>
  </sheetViews>
  <sheetFormatPr baseColWidth="10" defaultColWidth="0" defaultRowHeight="12.75" zeroHeight="1"/>
  <cols>
    <col min="1" max="1" width="1.140625" style="3" customWidth="1"/>
    <col min="2" max="2" width="10.7109375" style="3" bestFit="1" customWidth="1"/>
    <col min="3" max="8" width="17.42578125" style="3" customWidth="1"/>
    <col min="9" max="9" width="3.42578125" style="3" customWidth="1"/>
    <col min="10" max="10" width="3.140625" style="3" customWidth="1"/>
    <col min="11" max="11" width="1.85546875" style="3" hidden="1" customWidth="1"/>
    <col min="12" max="12" width="9.85546875" style="5" hidden="1"/>
    <col min="13" max="13" width="14" style="5" hidden="1"/>
    <col min="14" max="14" width="14.42578125" style="5" hidden="1"/>
    <col min="15" max="15" width="12.28515625" style="5" hidden="1"/>
    <col min="16" max="16" width="12.140625" style="5" hidden="1"/>
    <col min="17" max="18" width="11.7109375" style="5" hidden="1"/>
    <col min="19" max="19" width="15.28515625" style="5" hidden="1"/>
    <col min="20" max="20" width="16.85546875" style="5" hidden="1"/>
    <col min="21" max="21" width="6.140625" style="6" hidden="1"/>
    <col min="22" max="22" width="11.7109375" style="5" hidden="1"/>
    <col min="23" max="23" width="14.85546875" style="5" hidden="1"/>
    <col min="24" max="24" width="14.42578125" style="5" hidden="1"/>
    <col min="25" max="26" width="11.7109375" style="5" hidden="1"/>
    <col min="27" max="27" width="12.28515625" style="5" hidden="1"/>
    <col min="28" max="28" width="12.5703125" style="25" hidden="1"/>
    <col min="29" max="16384" width="11.42578125" style="3" hidden="1"/>
  </cols>
  <sheetData>
    <row r="1" spans="1:28">
      <c r="B1" s="2"/>
      <c r="G1" s="2"/>
      <c r="I1" s="2"/>
      <c r="L1" s="4"/>
      <c r="M1" s="4"/>
      <c r="N1" s="4"/>
      <c r="O1" s="4"/>
    </row>
    <row r="2" spans="1:28">
      <c r="A2" s="17"/>
      <c r="B2" s="2"/>
      <c r="C2" s="2"/>
      <c r="D2" s="2"/>
      <c r="E2" s="2"/>
      <c r="F2" s="2"/>
      <c r="G2" s="2"/>
      <c r="H2" s="2"/>
      <c r="I2" s="2"/>
      <c r="J2" s="2"/>
      <c r="K2" s="2"/>
      <c r="M2" s="13"/>
      <c r="N2" s="228"/>
    </row>
    <row r="3" spans="1:28">
      <c r="A3" s="17"/>
      <c r="B3" s="2"/>
      <c r="C3" s="2"/>
      <c r="D3" s="2"/>
      <c r="E3" s="2"/>
      <c r="F3" s="2"/>
      <c r="G3" s="2"/>
      <c r="H3" s="2"/>
      <c r="I3" s="2"/>
      <c r="J3" s="2"/>
      <c r="K3" s="2"/>
      <c r="M3" s="13"/>
      <c r="N3" s="228"/>
    </row>
    <row r="4" spans="1:28">
      <c r="A4" s="17"/>
      <c r="B4" s="2"/>
      <c r="C4" s="2"/>
      <c r="D4" s="2"/>
      <c r="E4" s="2"/>
      <c r="F4" s="2"/>
      <c r="G4" s="2"/>
      <c r="H4" s="2"/>
      <c r="I4" s="2"/>
      <c r="J4" s="2"/>
      <c r="K4" s="2"/>
      <c r="M4" s="13"/>
      <c r="N4" s="228"/>
    </row>
    <row r="5" spans="1:28">
      <c r="A5" s="17"/>
      <c r="B5" s="2"/>
      <c r="C5" s="2"/>
      <c r="D5" s="2"/>
      <c r="E5" s="2"/>
      <c r="F5" s="2"/>
      <c r="G5" s="2"/>
      <c r="H5" s="2"/>
      <c r="I5" s="2"/>
      <c r="J5" s="2"/>
      <c r="K5" s="2"/>
      <c r="M5" s="13"/>
      <c r="N5" s="228"/>
    </row>
    <row r="6" spans="1:28" ht="23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2"/>
      <c r="K6" s="2"/>
      <c r="M6" s="13"/>
    </row>
    <row r="7" spans="1:28" ht="15.75">
      <c r="A7" s="14"/>
      <c r="B7" s="15"/>
      <c r="C7" s="15"/>
      <c r="D7" s="15"/>
      <c r="E7" s="15"/>
      <c r="F7" s="15"/>
      <c r="G7" s="15"/>
      <c r="H7" s="15"/>
      <c r="I7" s="15"/>
      <c r="J7" s="2"/>
      <c r="K7" s="2"/>
      <c r="L7" s="16"/>
    </row>
    <row r="8" spans="1:28">
      <c r="A8" s="17"/>
      <c r="B8" s="2"/>
      <c r="C8" s="37" t="s">
        <v>13</v>
      </c>
      <c r="D8" s="133">
        <v>6981280</v>
      </c>
      <c r="E8" s="18"/>
      <c r="F8" s="37" t="s">
        <v>15</v>
      </c>
      <c r="G8" s="134">
        <v>0.81</v>
      </c>
      <c r="H8" s="2"/>
      <c r="I8" s="2"/>
      <c r="J8" s="2"/>
      <c r="K8" s="2"/>
      <c r="L8" s="229" t="s">
        <v>18</v>
      </c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30"/>
    </row>
    <row r="9" spans="1:28">
      <c r="A9" s="17"/>
      <c r="B9" s="2"/>
      <c r="C9" s="37" t="s">
        <v>14</v>
      </c>
      <c r="D9" s="135">
        <v>0.5</v>
      </c>
      <c r="E9" s="18"/>
      <c r="F9" s="37" t="s">
        <v>8</v>
      </c>
      <c r="G9" s="136">
        <f>+XNPV(G8,G39:G42,B39:B42)/H39</f>
        <v>0.70240793704175553</v>
      </c>
      <c r="H9" s="147"/>
      <c r="I9" s="2"/>
      <c r="J9" s="2"/>
      <c r="K9" s="2"/>
      <c r="L9" s="6"/>
      <c r="M9" s="6"/>
      <c r="N9" s="6"/>
      <c r="O9" s="6"/>
      <c r="P9" s="6"/>
      <c r="Q9" s="6"/>
      <c r="R9" s="6"/>
      <c r="S9" s="6"/>
      <c r="T9" s="6"/>
      <c r="V9" s="6"/>
      <c r="W9" s="6"/>
    </row>
    <row r="10" spans="1:28">
      <c r="A10" s="17"/>
      <c r="B10" s="2"/>
      <c r="C10" s="37" t="s">
        <v>10</v>
      </c>
      <c r="D10" s="38">
        <v>0.04</v>
      </c>
      <c r="E10" s="18"/>
      <c r="F10" s="137" t="s">
        <v>11</v>
      </c>
      <c r="G10" s="138">
        <f>+T35</f>
        <v>13.333782824637602</v>
      </c>
      <c r="H10" s="23"/>
      <c r="I10" s="24"/>
      <c r="J10" s="2"/>
      <c r="K10" s="2"/>
      <c r="L10" s="6"/>
      <c r="O10" s="231" t="s">
        <v>13</v>
      </c>
      <c r="P10" s="232">
        <f>+D8</f>
        <v>6981280</v>
      </c>
      <c r="Q10" s="233"/>
      <c r="R10" s="233"/>
      <c r="S10" s="233"/>
      <c r="T10" s="233"/>
      <c r="U10" s="234"/>
      <c r="V10" s="6"/>
      <c r="W10" s="6"/>
      <c r="X10" s="235"/>
    </row>
    <row r="11" spans="1:28">
      <c r="A11" s="17"/>
      <c r="B11" s="2"/>
      <c r="C11" s="139" t="s">
        <v>1</v>
      </c>
      <c r="D11" s="140">
        <f>+D9+D10</f>
        <v>0.54</v>
      </c>
      <c r="E11" s="18"/>
      <c r="F11" s="37" t="s">
        <v>12</v>
      </c>
      <c r="G11" s="40">
        <f>+XIRR(G18:G32,B18:B32)</f>
        <v>0.89838315248489375</v>
      </c>
      <c r="H11" s="31"/>
      <c r="I11" s="2"/>
      <c r="J11" s="2"/>
      <c r="K11" s="2"/>
      <c r="L11" s="6"/>
      <c r="O11" s="236" t="s">
        <v>15</v>
      </c>
      <c r="P11" s="237">
        <f>+G8</f>
        <v>0.81</v>
      </c>
      <c r="Q11" s="238"/>
      <c r="R11" s="238"/>
      <c r="S11" s="238"/>
      <c r="T11" s="238"/>
      <c r="U11" s="238"/>
      <c r="V11" s="6"/>
      <c r="W11" s="6"/>
      <c r="X11" s="235"/>
    </row>
    <row r="12" spans="1:28">
      <c r="A12" s="17"/>
      <c r="B12" s="2"/>
      <c r="C12" s="37" t="s">
        <v>20</v>
      </c>
      <c r="D12" s="38">
        <v>0.28999999999999998</v>
      </c>
      <c r="E12" s="18"/>
      <c r="F12" s="37" t="s">
        <v>17</v>
      </c>
      <c r="G12" s="40">
        <f>+((1+G11)^(1/12)-1)*12</f>
        <v>0.65843167968762462</v>
      </c>
      <c r="H12" s="31"/>
      <c r="I12" s="2"/>
      <c r="J12" s="2"/>
      <c r="K12" s="2"/>
      <c r="L12" s="6"/>
      <c r="O12" s="239"/>
      <c r="P12" s="238"/>
      <c r="Q12" s="238"/>
      <c r="R12" s="238"/>
      <c r="S12" s="238"/>
      <c r="T12" s="238"/>
      <c r="U12" s="238"/>
      <c r="V12" s="6"/>
      <c r="W12" s="6"/>
      <c r="X12" s="235"/>
    </row>
    <row r="13" spans="1:28">
      <c r="A13" s="17"/>
      <c r="B13" s="2"/>
      <c r="C13" s="37" t="s">
        <v>21</v>
      </c>
      <c r="D13" s="38">
        <v>0.39</v>
      </c>
      <c r="E13" s="18"/>
      <c r="F13" s="37" t="s">
        <v>19</v>
      </c>
      <c r="G13" s="40">
        <f>+(G12-D9)</f>
        <v>0.15843167968762462</v>
      </c>
      <c r="H13" s="31"/>
      <c r="I13" s="2"/>
      <c r="J13" s="2"/>
      <c r="K13" s="2"/>
      <c r="L13" s="6"/>
      <c r="O13" s="239"/>
      <c r="P13" s="238"/>
      <c r="Q13" s="238"/>
      <c r="R13" s="238"/>
      <c r="S13" s="238"/>
      <c r="T13" s="238"/>
      <c r="U13" s="238"/>
      <c r="V13" s="6"/>
      <c r="W13" s="6"/>
      <c r="X13" s="235"/>
    </row>
    <row r="14" spans="1:28">
      <c r="A14" s="17"/>
      <c r="B14" s="2"/>
      <c r="C14" s="37"/>
      <c r="D14" s="38"/>
      <c r="E14" s="18"/>
      <c r="F14" s="37" t="s">
        <v>17</v>
      </c>
      <c r="G14" s="40">
        <f>+((1+G8)^(1/12)-1)*12</f>
        <v>0.60823981205905575</v>
      </c>
      <c r="H14" s="39" t="s">
        <v>23</v>
      </c>
      <c r="I14" s="2"/>
      <c r="L14" s="6"/>
      <c r="O14" s="239"/>
      <c r="P14" s="238"/>
      <c r="Q14" s="238"/>
      <c r="R14" s="238"/>
      <c r="S14" s="238"/>
      <c r="T14" s="238"/>
      <c r="U14" s="238"/>
      <c r="V14" s="6"/>
      <c r="W14" s="6"/>
      <c r="X14" s="235"/>
    </row>
    <row r="15" spans="1:28">
      <c r="A15" s="17"/>
      <c r="B15" s="2"/>
      <c r="C15" s="37"/>
      <c r="D15" s="38"/>
      <c r="E15" s="18"/>
      <c r="F15" s="37"/>
      <c r="G15" s="40"/>
      <c r="H15" s="39"/>
      <c r="I15" s="2"/>
      <c r="L15" s="6"/>
      <c r="O15" s="239"/>
      <c r="P15" s="238"/>
      <c r="Q15" s="238"/>
      <c r="R15" s="238"/>
      <c r="S15" s="238"/>
      <c r="T15" s="238"/>
      <c r="U15" s="238"/>
      <c r="V15" s="6"/>
      <c r="W15" s="6"/>
      <c r="X15" s="235"/>
    </row>
    <row r="16" spans="1:28">
      <c r="A16" s="17"/>
      <c r="B16" s="106" t="s">
        <v>33</v>
      </c>
      <c r="C16" s="104"/>
      <c r="D16" s="104"/>
      <c r="E16" s="104"/>
      <c r="F16" s="104"/>
      <c r="G16" s="104"/>
      <c r="H16" s="112"/>
      <c r="I16" s="2"/>
      <c r="L16" s="6"/>
      <c r="M16" s="6"/>
      <c r="N16" s="240" t="s">
        <v>30</v>
      </c>
      <c r="O16" s="240"/>
      <c r="P16" s="240"/>
      <c r="Q16" s="240"/>
      <c r="R16" s="241"/>
      <c r="S16" s="241"/>
      <c r="T16" s="241"/>
      <c r="U16" s="241"/>
      <c r="V16" s="3"/>
      <c r="W16" s="3"/>
      <c r="X16" s="3"/>
      <c r="Y16" s="3"/>
      <c r="Z16" s="3"/>
      <c r="AA16" s="3"/>
      <c r="AB16" s="3"/>
    </row>
    <row r="17" spans="1:28" ht="13.5" customHeight="1">
      <c r="A17" s="17"/>
      <c r="B17" s="115" t="s">
        <v>0</v>
      </c>
      <c r="C17" s="116" t="s">
        <v>37</v>
      </c>
      <c r="D17" s="116" t="s">
        <v>7</v>
      </c>
      <c r="E17" s="117" t="s">
        <v>2</v>
      </c>
      <c r="F17" s="109" t="s">
        <v>16</v>
      </c>
      <c r="G17" s="117" t="s">
        <v>5</v>
      </c>
      <c r="H17" s="117" t="s">
        <v>9</v>
      </c>
      <c r="I17" s="111"/>
      <c r="L17" s="242" t="s">
        <v>0</v>
      </c>
      <c r="M17" s="243" t="s">
        <v>24</v>
      </c>
      <c r="N17" s="243" t="s">
        <v>27</v>
      </c>
      <c r="O17" s="242" t="s">
        <v>4</v>
      </c>
      <c r="P17" s="242" t="s">
        <v>25</v>
      </c>
      <c r="Q17" s="242" t="s">
        <v>26</v>
      </c>
      <c r="R17" s="244" t="s">
        <v>4</v>
      </c>
      <c r="S17" s="244" t="s">
        <v>28</v>
      </c>
      <c r="T17" s="244" t="s">
        <v>6</v>
      </c>
      <c r="U17" s="244"/>
      <c r="V17" s="3"/>
      <c r="W17" s="3"/>
      <c r="X17" s="3"/>
      <c r="Y17" s="3"/>
      <c r="Z17" s="3"/>
      <c r="AA17" s="3"/>
      <c r="AB17" s="3"/>
    </row>
    <row r="18" spans="1:28">
      <c r="A18" s="17"/>
      <c r="B18" s="124">
        <f>+'FF CREDINET VDF A'!B18</f>
        <v>43413</v>
      </c>
      <c r="C18" s="125"/>
      <c r="D18" s="126"/>
      <c r="E18" s="127"/>
      <c r="F18" s="127"/>
      <c r="G18" s="128">
        <f>+D8*G9*-1</f>
        <v>-4903706.4827108672</v>
      </c>
      <c r="H18" s="127">
        <f>+D8</f>
        <v>6981280</v>
      </c>
      <c r="I18" s="110"/>
      <c r="L18" s="245">
        <f>+B18</f>
        <v>43413</v>
      </c>
      <c r="M18" s="246"/>
      <c r="N18" s="247">
        <v>43404</v>
      </c>
      <c r="O18" s="248"/>
      <c r="P18" s="245"/>
      <c r="Q18" s="249"/>
      <c r="R18" s="250">
        <f>+L18-$B$18</f>
        <v>0</v>
      </c>
      <c r="S18" s="251"/>
      <c r="T18" s="251"/>
      <c r="U18" s="251"/>
      <c r="V18" s="3"/>
      <c r="W18" s="3"/>
      <c r="X18" s="3"/>
      <c r="Y18" s="3"/>
      <c r="Z18" s="3"/>
      <c r="AA18" s="3"/>
      <c r="AB18" s="3"/>
    </row>
    <row r="19" spans="1:28">
      <c r="A19" s="17"/>
      <c r="B19" s="124">
        <v>43459</v>
      </c>
      <c r="C19" s="190">
        <f t="shared" ref="C19:C32" si="0">IF($D$11&lt;$D$12,$D$12,IF($D$11&gt;$D$13,$D$13,$D$11))</f>
        <v>0.39</v>
      </c>
      <c r="D19" s="71">
        <f>+E19/$H$18</f>
        <v>0</v>
      </c>
      <c r="E19" s="128">
        <f>+IF(H18&gt;0,MIN(M19-F19,H18),0)</f>
        <v>0</v>
      </c>
      <c r="F19" s="130">
        <f>+MIN($M19,Q18+P19)</f>
        <v>0</v>
      </c>
      <c r="G19" s="127">
        <f t="shared" ref="G19:G32" si="1">+E19+F19</f>
        <v>0</v>
      </c>
      <c r="H19" s="127">
        <f>+H18-E19</f>
        <v>6981280</v>
      </c>
      <c r="I19" s="110"/>
      <c r="L19" s="252">
        <v>43459</v>
      </c>
      <c r="M19" s="253">
        <v>0</v>
      </c>
      <c r="N19" s="254">
        <v>43434</v>
      </c>
      <c r="O19" s="255">
        <v>30</v>
      </c>
      <c r="P19" s="256">
        <f>+H18*(C19)/360*O19</f>
        <v>226891.60000000003</v>
      </c>
      <c r="Q19" s="256">
        <f t="shared" ref="Q19:Q32" si="2">+Q18+P19-F19</f>
        <v>226891.60000000003</v>
      </c>
      <c r="R19" s="250">
        <f t="shared" ref="R19:R32" si="3">+L19-$B$18</f>
        <v>46</v>
      </c>
      <c r="S19" s="257">
        <f>+G19/(1+$G$8)^(R19/365)</f>
        <v>0</v>
      </c>
      <c r="T19" s="257">
        <f>+S19*R19</f>
        <v>0</v>
      </c>
      <c r="U19" s="257"/>
      <c r="V19" s="3"/>
      <c r="W19" s="3"/>
      <c r="X19" s="3"/>
      <c r="Y19" s="3"/>
      <c r="Z19" s="3"/>
      <c r="AA19" s="3"/>
      <c r="AB19" s="3"/>
    </row>
    <row r="20" spans="1:28">
      <c r="A20" s="17"/>
      <c r="B20" s="124">
        <v>43490</v>
      </c>
      <c r="C20" s="190">
        <f t="shared" si="0"/>
        <v>0.39</v>
      </c>
      <c r="D20" s="71">
        <f t="shared" ref="D20:D32" si="4">+E20/$H$18</f>
        <v>0</v>
      </c>
      <c r="E20" s="128">
        <f t="shared" ref="E20:E32" si="5">+IF(H19&gt;0,MIN(M20-F20,H19),0)</f>
        <v>0</v>
      </c>
      <c r="F20" s="130">
        <f t="shared" ref="F20:F32" si="6">+MIN($M20,Q19+P20)</f>
        <v>0</v>
      </c>
      <c r="G20" s="127">
        <f t="shared" si="1"/>
        <v>0</v>
      </c>
      <c r="H20" s="127">
        <f t="shared" ref="H20:H32" si="7">+H19-E20</f>
        <v>6981280</v>
      </c>
      <c r="I20" s="110"/>
      <c r="L20" s="252">
        <v>43490</v>
      </c>
      <c r="M20" s="253">
        <v>0</v>
      </c>
      <c r="N20" s="254">
        <v>43465</v>
      </c>
      <c r="O20" s="255">
        <v>30</v>
      </c>
      <c r="P20" s="256">
        <f>+H19*(C20)/360*O20</f>
        <v>226891.60000000003</v>
      </c>
      <c r="Q20" s="256">
        <f t="shared" si="2"/>
        <v>453783.20000000007</v>
      </c>
      <c r="R20" s="250">
        <f t="shared" si="3"/>
        <v>77</v>
      </c>
      <c r="S20" s="257">
        <f t="shared" ref="S20:S32" si="8">+G20/(1+$G$8)^(R20/365)</f>
        <v>0</v>
      </c>
      <c r="T20" s="257">
        <f t="shared" ref="T20:T32" si="9">+S20*R20</f>
        <v>0</v>
      </c>
      <c r="U20" s="257"/>
      <c r="V20" s="3"/>
      <c r="W20" s="3"/>
      <c r="X20" s="3"/>
      <c r="Y20" s="3"/>
      <c r="Z20" s="3"/>
      <c r="AA20" s="3"/>
      <c r="AB20" s="3"/>
    </row>
    <row r="21" spans="1:28">
      <c r="A21" s="54"/>
      <c r="B21" s="124">
        <v>43521</v>
      </c>
      <c r="C21" s="190">
        <f t="shared" si="0"/>
        <v>0.39</v>
      </c>
      <c r="D21" s="71">
        <f t="shared" si="4"/>
        <v>0</v>
      </c>
      <c r="E21" s="128">
        <f t="shared" si="5"/>
        <v>0</v>
      </c>
      <c r="F21" s="130">
        <f t="shared" si="6"/>
        <v>0</v>
      </c>
      <c r="G21" s="127">
        <f t="shared" si="1"/>
        <v>0</v>
      </c>
      <c r="H21" s="127">
        <f t="shared" si="7"/>
        <v>6981280</v>
      </c>
      <c r="I21" s="55"/>
      <c r="L21" s="252">
        <v>43521</v>
      </c>
      <c r="M21" s="253">
        <v>0</v>
      </c>
      <c r="N21" s="254">
        <v>43496</v>
      </c>
      <c r="O21" s="255">
        <v>30</v>
      </c>
      <c r="P21" s="256">
        <f t="shared" ref="P21:P32" si="10">+H20*(C21)/360*O21</f>
        <v>226891.60000000003</v>
      </c>
      <c r="Q21" s="256">
        <f t="shared" si="2"/>
        <v>680674.8</v>
      </c>
      <c r="R21" s="250">
        <f t="shared" si="3"/>
        <v>108</v>
      </c>
      <c r="S21" s="257">
        <f t="shared" si="8"/>
        <v>0</v>
      </c>
      <c r="T21" s="257">
        <f t="shared" si="9"/>
        <v>0</v>
      </c>
      <c r="U21" s="257"/>
      <c r="V21" s="3"/>
      <c r="W21" s="3"/>
      <c r="X21" s="3"/>
      <c r="Y21" s="3"/>
      <c r="Z21" s="3"/>
      <c r="AA21" s="3"/>
      <c r="AB21" s="3"/>
    </row>
    <row r="22" spans="1:28">
      <c r="A22" s="54"/>
      <c r="B22" s="124">
        <v>43549</v>
      </c>
      <c r="C22" s="190">
        <f t="shared" si="0"/>
        <v>0.39</v>
      </c>
      <c r="D22" s="71">
        <f t="shared" si="4"/>
        <v>0</v>
      </c>
      <c r="E22" s="128">
        <f t="shared" si="5"/>
        <v>0</v>
      </c>
      <c r="F22" s="130">
        <f t="shared" si="6"/>
        <v>0</v>
      </c>
      <c r="G22" s="127">
        <f t="shared" si="1"/>
        <v>0</v>
      </c>
      <c r="H22" s="127">
        <f t="shared" si="7"/>
        <v>6981280</v>
      </c>
      <c r="I22" s="55"/>
      <c r="L22" s="252">
        <v>43549</v>
      </c>
      <c r="M22" s="253">
        <v>0</v>
      </c>
      <c r="N22" s="254">
        <v>43524</v>
      </c>
      <c r="O22" s="255">
        <v>30</v>
      </c>
      <c r="P22" s="256">
        <f t="shared" si="10"/>
        <v>226891.60000000003</v>
      </c>
      <c r="Q22" s="256">
        <f t="shared" si="2"/>
        <v>907566.40000000014</v>
      </c>
      <c r="R22" s="250">
        <f t="shared" si="3"/>
        <v>136</v>
      </c>
      <c r="S22" s="257">
        <f t="shared" si="8"/>
        <v>0</v>
      </c>
      <c r="T22" s="257">
        <f t="shared" si="9"/>
        <v>0</v>
      </c>
      <c r="U22" s="257"/>
      <c r="V22" s="3"/>
      <c r="W22" s="3"/>
      <c r="X22" s="3"/>
      <c r="Y22" s="3"/>
      <c r="Z22" s="3"/>
      <c r="AA22" s="3"/>
      <c r="AB22" s="3"/>
    </row>
    <row r="23" spans="1:28">
      <c r="A23" s="17"/>
      <c r="B23" s="124">
        <v>43580</v>
      </c>
      <c r="C23" s="190">
        <f t="shared" si="0"/>
        <v>0.39</v>
      </c>
      <c r="D23" s="71">
        <f t="shared" si="4"/>
        <v>0</v>
      </c>
      <c r="E23" s="128">
        <f t="shared" si="5"/>
        <v>0</v>
      </c>
      <c r="F23" s="130">
        <f t="shared" si="6"/>
        <v>0</v>
      </c>
      <c r="G23" s="127">
        <f t="shared" si="1"/>
        <v>0</v>
      </c>
      <c r="H23" s="127">
        <f t="shared" si="7"/>
        <v>6981280</v>
      </c>
      <c r="I23" s="2"/>
      <c r="L23" s="252">
        <v>43580</v>
      </c>
      <c r="M23" s="253">
        <v>0</v>
      </c>
      <c r="N23" s="254">
        <v>43555</v>
      </c>
      <c r="O23" s="255">
        <v>30</v>
      </c>
      <c r="P23" s="256">
        <f t="shared" si="10"/>
        <v>226891.60000000003</v>
      </c>
      <c r="Q23" s="256">
        <f t="shared" si="2"/>
        <v>1134458.0000000002</v>
      </c>
      <c r="R23" s="250">
        <f t="shared" si="3"/>
        <v>167</v>
      </c>
      <c r="S23" s="257">
        <f t="shared" si="8"/>
        <v>0</v>
      </c>
      <c r="T23" s="257">
        <f t="shared" si="9"/>
        <v>0</v>
      </c>
      <c r="U23" s="257"/>
      <c r="V23" s="257"/>
      <c r="AB23" s="5"/>
    </row>
    <row r="24" spans="1:28">
      <c r="B24" s="124">
        <v>43612</v>
      </c>
      <c r="C24" s="190">
        <f t="shared" si="0"/>
        <v>0.39</v>
      </c>
      <c r="D24" s="71">
        <f t="shared" si="4"/>
        <v>0</v>
      </c>
      <c r="E24" s="128">
        <f t="shared" si="5"/>
        <v>0</v>
      </c>
      <c r="F24" s="130">
        <f t="shared" si="6"/>
        <v>0</v>
      </c>
      <c r="G24" s="127">
        <f t="shared" si="1"/>
        <v>0</v>
      </c>
      <c r="H24" s="127">
        <f t="shared" si="7"/>
        <v>6981280</v>
      </c>
      <c r="I24" s="2"/>
      <c r="L24" s="252">
        <v>43612</v>
      </c>
      <c r="M24" s="253">
        <v>0</v>
      </c>
      <c r="N24" s="254">
        <v>43585</v>
      </c>
      <c r="O24" s="255">
        <v>30</v>
      </c>
      <c r="P24" s="256">
        <f t="shared" si="10"/>
        <v>226891.60000000003</v>
      </c>
      <c r="Q24" s="256">
        <f t="shared" si="2"/>
        <v>1361349.6000000003</v>
      </c>
      <c r="R24" s="250">
        <f t="shared" si="3"/>
        <v>199</v>
      </c>
      <c r="S24" s="257">
        <f t="shared" si="8"/>
        <v>0</v>
      </c>
      <c r="T24" s="257">
        <f t="shared" si="9"/>
        <v>0</v>
      </c>
      <c r="U24" s="257"/>
      <c r="V24" s="257"/>
      <c r="Z24" s="258"/>
      <c r="AB24" s="5"/>
    </row>
    <row r="25" spans="1:28">
      <c r="B25" s="124">
        <v>43641</v>
      </c>
      <c r="C25" s="190">
        <f t="shared" si="0"/>
        <v>0.39</v>
      </c>
      <c r="D25" s="71">
        <f t="shared" si="4"/>
        <v>0</v>
      </c>
      <c r="E25" s="128">
        <f t="shared" si="5"/>
        <v>0</v>
      </c>
      <c r="F25" s="130">
        <f t="shared" si="6"/>
        <v>0</v>
      </c>
      <c r="G25" s="127">
        <f t="shared" si="1"/>
        <v>0</v>
      </c>
      <c r="H25" s="127">
        <f t="shared" si="7"/>
        <v>6981280</v>
      </c>
      <c r="L25" s="252">
        <v>43641</v>
      </c>
      <c r="M25" s="253">
        <v>0</v>
      </c>
      <c r="N25" s="254">
        <v>43616</v>
      </c>
      <c r="O25" s="255">
        <v>30</v>
      </c>
      <c r="P25" s="256">
        <f t="shared" si="10"/>
        <v>226891.60000000003</v>
      </c>
      <c r="Q25" s="256">
        <f t="shared" si="2"/>
        <v>1588241.2000000004</v>
      </c>
      <c r="R25" s="250">
        <f t="shared" si="3"/>
        <v>228</v>
      </c>
      <c r="S25" s="257">
        <f t="shared" si="8"/>
        <v>0</v>
      </c>
      <c r="T25" s="257">
        <f t="shared" si="9"/>
        <v>0</v>
      </c>
      <c r="U25" s="257"/>
      <c r="V25" s="257"/>
    </row>
    <row r="26" spans="1:28">
      <c r="B26" s="124">
        <v>43671</v>
      </c>
      <c r="C26" s="190">
        <f t="shared" si="0"/>
        <v>0.39</v>
      </c>
      <c r="D26" s="71">
        <f t="shared" si="4"/>
        <v>0</v>
      </c>
      <c r="E26" s="128">
        <f t="shared" si="5"/>
        <v>0</v>
      </c>
      <c r="F26" s="130">
        <f t="shared" si="6"/>
        <v>0</v>
      </c>
      <c r="G26" s="127">
        <f t="shared" si="1"/>
        <v>0</v>
      </c>
      <c r="H26" s="127">
        <f t="shared" si="7"/>
        <v>6981280</v>
      </c>
      <c r="L26" s="252">
        <v>43671</v>
      </c>
      <c r="M26" s="253">
        <v>0</v>
      </c>
      <c r="N26" s="254">
        <v>43646</v>
      </c>
      <c r="O26" s="255">
        <v>30</v>
      </c>
      <c r="P26" s="256">
        <f t="shared" si="10"/>
        <v>226891.60000000003</v>
      </c>
      <c r="Q26" s="256">
        <f t="shared" si="2"/>
        <v>1815132.8000000005</v>
      </c>
      <c r="R26" s="250">
        <f t="shared" si="3"/>
        <v>258</v>
      </c>
      <c r="S26" s="257">
        <f t="shared" si="8"/>
        <v>0</v>
      </c>
      <c r="T26" s="257">
        <f t="shared" si="9"/>
        <v>0</v>
      </c>
      <c r="U26" s="257"/>
      <c r="V26" s="257"/>
    </row>
    <row r="27" spans="1:28">
      <c r="B27" s="124">
        <v>43703</v>
      </c>
      <c r="C27" s="190">
        <f t="shared" si="0"/>
        <v>0.39</v>
      </c>
      <c r="D27" s="71">
        <f t="shared" si="4"/>
        <v>0</v>
      </c>
      <c r="E27" s="128">
        <f t="shared" si="5"/>
        <v>0</v>
      </c>
      <c r="F27" s="130">
        <f t="shared" si="6"/>
        <v>0</v>
      </c>
      <c r="G27" s="127">
        <f t="shared" si="1"/>
        <v>0</v>
      </c>
      <c r="H27" s="127">
        <f t="shared" si="7"/>
        <v>6981280</v>
      </c>
      <c r="L27" s="252">
        <v>43703</v>
      </c>
      <c r="M27" s="253">
        <v>0</v>
      </c>
      <c r="N27" s="254">
        <v>43677</v>
      </c>
      <c r="O27" s="255">
        <v>30</v>
      </c>
      <c r="P27" s="256">
        <f t="shared" si="10"/>
        <v>226891.60000000003</v>
      </c>
      <c r="Q27" s="256">
        <f t="shared" si="2"/>
        <v>2042024.4000000006</v>
      </c>
      <c r="R27" s="250">
        <f t="shared" si="3"/>
        <v>290</v>
      </c>
      <c r="S27" s="257">
        <f t="shared" si="8"/>
        <v>0</v>
      </c>
      <c r="T27" s="257">
        <f t="shared" si="9"/>
        <v>0</v>
      </c>
      <c r="U27" s="257"/>
      <c r="V27" s="257"/>
    </row>
    <row r="28" spans="1:28">
      <c r="B28" s="124">
        <v>43733</v>
      </c>
      <c r="C28" s="190">
        <f t="shared" si="0"/>
        <v>0.39</v>
      </c>
      <c r="D28" s="71">
        <f t="shared" si="4"/>
        <v>0</v>
      </c>
      <c r="E28" s="128">
        <f t="shared" si="5"/>
        <v>0</v>
      </c>
      <c r="F28" s="130">
        <f t="shared" si="6"/>
        <v>0</v>
      </c>
      <c r="G28" s="127">
        <f t="shared" si="1"/>
        <v>0</v>
      </c>
      <c r="H28" s="127">
        <f t="shared" si="7"/>
        <v>6981280</v>
      </c>
      <c r="L28" s="252">
        <v>43733</v>
      </c>
      <c r="M28" s="253">
        <v>0</v>
      </c>
      <c r="N28" s="254">
        <v>43708</v>
      </c>
      <c r="O28" s="255">
        <v>30</v>
      </c>
      <c r="P28" s="256">
        <f t="shared" si="10"/>
        <v>226891.60000000003</v>
      </c>
      <c r="Q28" s="256">
        <f t="shared" si="2"/>
        <v>2268916.0000000005</v>
      </c>
      <c r="R28" s="250">
        <f t="shared" si="3"/>
        <v>320</v>
      </c>
      <c r="S28" s="257">
        <f t="shared" si="8"/>
        <v>0</v>
      </c>
      <c r="T28" s="257">
        <f t="shared" si="9"/>
        <v>0</v>
      </c>
      <c r="U28" s="257"/>
      <c r="V28" s="257"/>
    </row>
    <row r="29" spans="1:28">
      <c r="B29" s="124">
        <v>43763</v>
      </c>
      <c r="C29" s="190">
        <f t="shared" si="0"/>
        <v>0.39</v>
      </c>
      <c r="D29" s="71">
        <f t="shared" si="4"/>
        <v>0</v>
      </c>
      <c r="E29" s="128">
        <f t="shared" si="5"/>
        <v>0</v>
      </c>
      <c r="F29" s="130">
        <f t="shared" si="6"/>
        <v>0</v>
      </c>
      <c r="G29" s="127">
        <f t="shared" si="1"/>
        <v>0</v>
      </c>
      <c r="H29" s="127">
        <f t="shared" si="7"/>
        <v>6981280</v>
      </c>
      <c r="L29" s="252">
        <v>43763</v>
      </c>
      <c r="M29" s="253">
        <f>5729779-'FF CREDINET VDF B'!G29</f>
        <v>0</v>
      </c>
      <c r="N29" s="254">
        <v>43738</v>
      </c>
      <c r="O29" s="255">
        <v>30</v>
      </c>
      <c r="P29" s="256">
        <f t="shared" si="10"/>
        <v>226891.60000000003</v>
      </c>
      <c r="Q29" s="256">
        <f t="shared" si="2"/>
        <v>2495807.6000000006</v>
      </c>
      <c r="R29" s="250">
        <f t="shared" si="3"/>
        <v>350</v>
      </c>
      <c r="S29" s="257">
        <f t="shared" si="8"/>
        <v>0</v>
      </c>
      <c r="T29" s="257">
        <f t="shared" si="9"/>
        <v>0</v>
      </c>
      <c r="U29" s="257"/>
      <c r="V29" s="257"/>
    </row>
    <row r="30" spans="1:28">
      <c r="B30" s="124">
        <v>43794</v>
      </c>
      <c r="C30" s="190">
        <f t="shared" si="0"/>
        <v>0.39</v>
      </c>
      <c r="D30" s="71">
        <f t="shared" si="4"/>
        <v>0.23637213158818554</v>
      </c>
      <c r="E30" s="128">
        <f t="shared" si="5"/>
        <v>1650180.034813968</v>
      </c>
      <c r="F30" s="130">
        <f t="shared" si="6"/>
        <v>2722699.2000000007</v>
      </c>
      <c r="G30" s="127">
        <f t="shared" si="1"/>
        <v>4372879.2348139687</v>
      </c>
      <c r="H30" s="127">
        <f t="shared" si="7"/>
        <v>5331099.9651860315</v>
      </c>
      <c r="L30" s="252">
        <v>43794</v>
      </c>
      <c r="M30" s="253">
        <f>4829417-'FF CREDINET VDF B'!G30</f>
        <v>4372879.2348139687</v>
      </c>
      <c r="N30" s="254">
        <v>43769</v>
      </c>
      <c r="O30" s="255">
        <v>30</v>
      </c>
      <c r="P30" s="256">
        <f t="shared" si="10"/>
        <v>226891.60000000003</v>
      </c>
      <c r="Q30" s="256">
        <f t="shared" si="2"/>
        <v>0</v>
      </c>
      <c r="R30" s="250">
        <f t="shared" si="3"/>
        <v>381</v>
      </c>
      <c r="S30" s="257">
        <f t="shared" si="8"/>
        <v>2353929.2723686374</v>
      </c>
      <c r="T30" s="257">
        <f t="shared" si="9"/>
        <v>896847052.7724508</v>
      </c>
      <c r="U30" s="257"/>
      <c r="V30" s="257"/>
    </row>
    <row r="31" spans="1:28">
      <c r="B31" s="124">
        <v>43824</v>
      </c>
      <c r="C31" s="190">
        <f t="shared" si="0"/>
        <v>0.39</v>
      </c>
      <c r="D31" s="71">
        <f t="shared" si="4"/>
        <v>0.64376736803730172</v>
      </c>
      <c r="E31" s="128">
        <f t="shared" si="5"/>
        <v>4494320.2511314536</v>
      </c>
      <c r="F31" s="130">
        <f t="shared" si="6"/>
        <v>173260.74886854601</v>
      </c>
      <c r="G31" s="127">
        <f t="shared" si="1"/>
        <v>4667581</v>
      </c>
      <c r="H31" s="127">
        <f t="shared" si="7"/>
        <v>836779.71405457798</v>
      </c>
      <c r="L31" s="252">
        <v>43824</v>
      </c>
      <c r="M31" s="253">
        <v>4667581</v>
      </c>
      <c r="N31" s="254">
        <v>43799</v>
      </c>
      <c r="O31" s="255">
        <v>30</v>
      </c>
      <c r="P31" s="256">
        <f t="shared" si="10"/>
        <v>173260.74886854601</v>
      </c>
      <c r="Q31" s="256">
        <f t="shared" si="2"/>
        <v>0</v>
      </c>
      <c r="R31" s="250">
        <f t="shared" si="3"/>
        <v>411</v>
      </c>
      <c r="S31" s="257">
        <f t="shared" si="8"/>
        <v>2392978.1235048412</v>
      </c>
      <c r="T31" s="257">
        <f t="shared" si="9"/>
        <v>983514008.7604897</v>
      </c>
      <c r="U31" s="257"/>
      <c r="V31" s="257"/>
    </row>
    <row r="32" spans="1:28">
      <c r="B32" s="124">
        <v>43857</v>
      </c>
      <c r="C32" s="190">
        <f t="shared" si="0"/>
        <v>0.39</v>
      </c>
      <c r="D32" s="71">
        <f t="shared" si="4"/>
        <v>0.11986050037451269</v>
      </c>
      <c r="E32" s="128">
        <f t="shared" si="5"/>
        <v>836779.71405457798</v>
      </c>
      <c r="F32" s="130">
        <f t="shared" si="6"/>
        <v>27195.340706773786</v>
      </c>
      <c r="G32" s="127">
        <f t="shared" si="1"/>
        <v>863975.05476135178</v>
      </c>
      <c r="H32" s="127">
        <f t="shared" si="7"/>
        <v>0</v>
      </c>
      <c r="L32" s="259">
        <v>43857</v>
      </c>
      <c r="M32" s="260">
        <v>4292097</v>
      </c>
      <c r="N32" s="261">
        <v>43830</v>
      </c>
      <c r="O32" s="262">
        <v>30</v>
      </c>
      <c r="P32" s="263">
        <f t="shared" si="10"/>
        <v>27195.340706773786</v>
      </c>
      <c r="Q32" s="263">
        <f t="shared" si="2"/>
        <v>0</v>
      </c>
      <c r="R32" s="250">
        <f t="shared" si="3"/>
        <v>444</v>
      </c>
      <c r="S32" s="257">
        <f t="shared" si="8"/>
        <v>419808.37797295937</v>
      </c>
      <c r="T32" s="257">
        <f t="shared" si="9"/>
        <v>186394919.81999397</v>
      </c>
      <c r="U32" s="257"/>
      <c r="V32" s="257"/>
    </row>
    <row r="33" spans="2:22">
      <c r="B33" s="118"/>
      <c r="C33" s="119"/>
      <c r="D33" s="120">
        <f>SUM(D19:D32)</f>
        <v>0.99999999999999989</v>
      </c>
      <c r="E33" s="121">
        <f>SUM(E18:E32)</f>
        <v>6981279.9999999991</v>
      </c>
      <c r="F33" s="122">
        <f>SUM(F18:F32)</f>
        <v>2923155.2895753202</v>
      </c>
      <c r="G33" s="121">
        <f>SUM(G19:G32)</f>
        <v>9904435.2895753216</v>
      </c>
      <c r="H33" s="123"/>
      <c r="L33" s="235"/>
      <c r="M33" s="235"/>
      <c r="N33" s="235"/>
      <c r="O33" s="235"/>
      <c r="P33" s="235"/>
      <c r="Q33" s="235"/>
      <c r="R33" s="235"/>
      <c r="S33" s="264">
        <f>SUM(S19:S32)</f>
        <v>5166715.7738464382</v>
      </c>
      <c r="T33" s="264">
        <f>SUM(T19:T32)</f>
        <v>2066755981.3529344</v>
      </c>
      <c r="V33" s="265"/>
    </row>
    <row r="34" spans="2:22">
      <c r="B34" s="266"/>
      <c r="D34" s="267"/>
      <c r="E34" s="85"/>
      <c r="F34" s="85"/>
      <c r="L34" s="235"/>
      <c r="M34" s="235"/>
      <c r="N34" s="235"/>
      <c r="O34" s="235"/>
      <c r="T34" s="268">
        <f>+T33/S33</f>
        <v>400.01348473912805</v>
      </c>
      <c r="U34" s="81"/>
    </row>
    <row r="35" spans="2:22">
      <c r="D35" s="267"/>
      <c r="E35" s="85"/>
      <c r="F35" s="85"/>
      <c r="P35" s="80"/>
      <c r="Q35" s="80"/>
      <c r="R35" s="80"/>
      <c r="S35" s="269" t="s">
        <v>6</v>
      </c>
      <c r="T35" s="270">
        <f>+T34/30</f>
        <v>13.333782824637602</v>
      </c>
      <c r="U35" s="81"/>
    </row>
    <row r="36" spans="2:22" ht="15">
      <c r="B36" s="89" t="s">
        <v>39</v>
      </c>
      <c r="C36" s="89"/>
      <c r="D36" s="89"/>
      <c r="E36" s="89"/>
      <c r="F36" s="89"/>
      <c r="G36" s="89"/>
      <c r="H36" s="89"/>
      <c r="O36" s="80"/>
      <c r="P36" s="80"/>
      <c r="Q36" s="80"/>
      <c r="R36" s="80"/>
      <c r="S36" s="80"/>
      <c r="T36" s="80"/>
      <c r="U36" s="81"/>
    </row>
    <row r="37" spans="2:22">
      <c r="B37" s="106" t="s">
        <v>33</v>
      </c>
      <c r="C37" s="104"/>
      <c r="D37" s="104"/>
      <c r="E37" s="104"/>
      <c r="F37" s="104"/>
      <c r="G37" s="104"/>
      <c r="H37" s="112"/>
      <c r="O37" s="80"/>
      <c r="P37" s="80"/>
      <c r="Q37" s="80"/>
      <c r="R37" s="80"/>
      <c r="S37" s="80"/>
      <c r="T37" s="80"/>
      <c r="U37" s="81"/>
    </row>
    <row r="38" spans="2:22">
      <c r="B38" s="115" t="s">
        <v>0</v>
      </c>
      <c r="C38" s="116" t="s">
        <v>38</v>
      </c>
      <c r="D38" s="116" t="s">
        <v>7</v>
      </c>
      <c r="E38" s="117" t="s">
        <v>2</v>
      </c>
      <c r="F38" s="109" t="s">
        <v>3</v>
      </c>
      <c r="G38" s="117" t="s">
        <v>5</v>
      </c>
      <c r="H38" s="117" t="s">
        <v>9</v>
      </c>
      <c r="O38" s="80"/>
      <c r="P38" s="80"/>
      <c r="Q38" s="80"/>
      <c r="R38" s="80"/>
      <c r="S38" s="80"/>
      <c r="T38" s="80"/>
      <c r="U38" s="81"/>
    </row>
    <row r="39" spans="2:22">
      <c r="B39" s="124">
        <f>+B18</f>
        <v>43413</v>
      </c>
      <c r="C39" s="218"/>
      <c r="D39" s="219"/>
      <c r="E39" s="220"/>
      <c r="F39" s="220"/>
      <c r="G39" s="78">
        <v>0</v>
      </c>
      <c r="H39" s="220">
        <f>+P10</f>
        <v>6981280</v>
      </c>
      <c r="O39" s="80"/>
      <c r="P39" s="80"/>
      <c r="Q39" s="80"/>
      <c r="R39" s="80"/>
      <c r="S39" s="80"/>
      <c r="T39" s="80"/>
      <c r="U39" s="81"/>
    </row>
    <row r="40" spans="2:22">
      <c r="B40" s="124">
        <v>43763</v>
      </c>
      <c r="C40" s="221">
        <v>0.28999999999999998</v>
      </c>
      <c r="D40" s="222">
        <v>0.17631050466390116</v>
      </c>
      <c r="E40" s="78">
        <f t="shared" ref="E40:E42" si="11">+$P$10*D40</f>
        <v>1230873</v>
      </c>
      <c r="F40" s="78">
        <f>+H39*C40/12*11</f>
        <v>1855856.9333333333</v>
      </c>
      <c r="G40" s="220">
        <f t="shared" ref="G40" si="12">+E40+F40</f>
        <v>3086729.9333333336</v>
      </c>
      <c r="H40" s="220">
        <f>+H39-E40</f>
        <v>5750407</v>
      </c>
      <c r="O40" s="80"/>
      <c r="P40" s="80"/>
      <c r="Q40" s="80"/>
      <c r="R40" s="80"/>
      <c r="S40" s="80"/>
      <c r="T40" s="80"/>
      <c r="U40" s="81"/>
    </row>
    <row r="41" spans="2:22">
      <c r="B41" s="124">
        <v>43794</v>
      </c>
      <c r="C41" s="221">
        <v>0.28999999999999998</v>
      </c>
      <c r="D41" s="222">
        <v>0.67186089083950218</v>
      </c>
      <c r="E41" s="78">
        <f t="shared" ref="E41" si="13">+$P$10*D41</f>
        <v>4690449</v>
      </c>
      <c r="F41" s="78">
        <f>+H40*C41/12*1</f>
        <v>138968.16916666666</v>
      </c>
      <c r="G41" s="220">
        <f t="shared" ref="G41" si="14">+E41+F41</f>
        <v>4829417.1691666665</v>
      </c>
      <c r="H41" s="220">
        <f>+H40-E41</f>
        <v>1059958</v>
      </c>
      <c r="O41" s="80"/>
      <c r="P41" s="80"/>
      <c r="Q41" s="80"/>
      <c r="R41" s="80"/>
      <c r="S41" s="80"/>
      <c r="T41" s="80"/>
      <c r="U41" s="81"/>
    </row>
    <row r="42" spans="2:22">
      <c r="B42" s="124">
        <v>43824</v>
      </c>
      <c r="C42" s="221">
        <v>0.28999999999999998</v>
      </c>
      <c r="D42" s="222">
        <v>0.1518286044965966</v>
      </c>
      <c r="E42" s="78">
        <f t="shared" si="11"/>
        <v>1059958</v>
      </c>
      <c r="F42" s="78">
        <f>+H41*C42/12*1</f>
        <v>25615.651666666668</v>
      </c>
      <c r="G42" s="220">
        <f t="shared" ref="G42" si="15">+E42+F42</f>
        <v>1085573.6516666666</v>
      </c>
      <c r="H42" s="220">
        <f>+H41-E42</f>
        <v>0</v>
      </c>
      <c r="O42" s="80"/>
      <c r="P42" s="80"/>
      <c r="Q42" s="80"/>
      <c r="R42" s="80"/>
      <c r="S42" s="80"/>
      <c r="T42" s="80"/>
    </row>
    <row r="43" spans="2:22">
      <c r="B43" s="118"/>
      <c r="C43" s="119"/>
      <c r="D43" s="120">
        <f>SUM(D40:D42)</f>
        <v>1</v>
      </c>
      <c r="E43" s="121">
        <f>SUM(E39:E42)</f>
        <v>6981280</v>
      </c>
      <c r="F43" s="122">
        <f>SUM(F39:F42)</f>
        <v>2020440.7541666667</v>
      </c>
      <c r="G43" s="121">
        <f>SUM(G39:G42)</f>
        <v>9001720.7541666664</v>
      </c>
      <c r="H43" s="123"/>
    </row>
    <row r="44" spans="2:22">
      <c r="D44" s="271"/>
      <c r="E44" s="271"/>
    </row>
    <row r="45" spans="2:22">
      <c r="B45" s="95" t="s">
        <v>40</v>
      </c>
      <c r="C45" s="101"/>
      <c r="D45" s="102"/>
      <c r="E45" s="271"/>
    </row>
    <row r="46" spans="2:22">
      <c r="B46" s="96" t="s">
        <v>41</v>
      </c>
      <c r="C46" s="97"/>
      <c r="D46" s="141"/>
      <c r="E46" s="271"/>
    </row>
    <row r="47" spans="2:22">
      <c r="B47" s="142"/>
      <c r="C47" s="98"/>
      <c r="D47" s="143"/>
      <c r="E47" s="271"/>
    </row>
    <row r="48" spans="2:22">
      <c r="B48" s="144"/>
      <c r="C48" s="145"/>
      <c r="D48" s="146"/>
      <c r="E48" s="271"/>
    </row>
    <row r="49" spans="2:5">
      <c r="E49" s="271"/>
    </row>
    <row r="50" spans="2:5" hidden="1">
      <c r="E50" s="271"/>
    </row>
    <row r="51" spans="2:5" hidden="1">
      <c r="E51" s="271"/>
    </row>
    <row r="52" spans="2:5" hidden="1">
      <c r="E52" s="271"/>
    </row>
    <row r="53" spans="2:5" hidden="1">
      <c r="E53" s="271"/>
    </row>
    <row r="54" spans="2:5" hidden="1"/>
    <row r="55" spans="2:5" hidden="1"/>
    <row r="56" spans="2:5" hidden="1">
      <c r="B56" s="88"/>
    </row>
    <row r="57" spans="2:5" hidden="1"/>
    <row r="58" spans="2:5" hidden="1"/>
    <row r="59" spans="2:5" hidden="1"/>
    <row r="60" spans="2:5" hidden="1"/>
    <row r="61" spans="2:5" hidden="1"/>
    <row r="62" spans="2:5" hidden="1"/>
    <row r="63" spans="2:5" hidden="1"/>
    <row r="64" spans="2:5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</sheetData>
  <sheetProtection password="C0EE" sheet="1" objects="1" scenarios="1"/>
  <mergeCells count="9">
    <mergeCell ref="B45:D45"/>
    <mergeCell ref="B46:D48"/>
    <mergeCell ref="L1:O1"/>
    <mergeCell ref="A6:I6"/>
    <mergeCell ref="L8:V8"/>
    <mergeCell ref="N16:Q16"/>
    <mergeCell ref="B16:H16"/>
    <mergeCell ref="B36:H36"/>
    <mergeCell ref="B37:H37"/>
  </mergeCells>
  <conditionalFormatting sqref="E40:E42 E19:E32 E33:G33">
    <cfRule type="cellIs" dxfId="2" priority="8" stopIfTrue="1" operator="equal">
      <formula>0</formula>
    </cfRule>
  </conditionalFormatting>
  <conditionalFormatting sqref="E40:E42 E43:G43">
    <cfRule type="cellIs" dxfId="1" priority="2" stopIfTrue="1" operator="equal">
      <formula>0</formula>
    </cfRule>
  </conditionalFormatting>
  <conditionalFormatting sqref="E43:G43">
    <cfRule type="cellIs" dxfId="0" priority="1" stopIfTrue="1" operator="equal">
      <formula>0</formula>
    </cfRule>
  </conditionalFormatting>
  <printOptions horizontalCentered="1"/>
  <pageMargins left="0.78740157480314965" right="0.78740157480314965" top="0.77" bottom="3.937007874015748E-2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FF CREDINET VDF A</vt:lpstr>
      <vt:lpstr>FF CREDINET VDF B</vt:lpstr>
      <vt:lpstr>FF CREDINET VDF C</vt:lpstr>
      <vt:lpstr>'FF CREDINET VDF A'!Área_de_impresión</vt:lpstr>
      <vt:lpstr>'FF CREDINET VDF B'!Área_de_impresión</vt:lpstr>
      <vt:lpstr>'FF CREDINET VDF C'!Área_de_impresión</vt:lpstr>
      <vt:lpstr>'FF CREDINET VDF B'!VN</vt:lpstr>
      <vt:lpstr>'FF CREDINET VDF C'!VN</vt:lpstr>
      <vt:lpstr>VN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Usuario de Windows</cp:lastModifiedBy>
  <cp:lastPrinted>2014-06-30T14:11:46Z</cp:lastPrinted>
  <dcterms:created xsi:type="dcterms:W3CDTF">1996-11-27T10:00:04Z</dcterms:created>
  <dcterms:modified xsi:type="dcterms:W3CDTF">2018-11-02T15:48:42Z</dcterms:modified>
</cp:coreProperties>
</file>