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usuarios\S&amp;C Inversiones\EMISIONES\ON PYMES\COLOCACIONES S&amp;C\LA BARRANCA SRL\"/>
    </mc:Choice>
  </mc:AlternateContent>
  <bookViews>
    <workbookView xWindow="0" yWindow="0" windowWidth="20490" windowHeight="7455"/>
  </bookViews>
  <sheets>
    <sheet name="CALCULADORA" sheetId="10" r:id="rId1"/>
  </sheets>
  <definedNames>
    <definedName name="_xlnm.Print_Area" localSheetId="0">CALCULADORA!$A$2:$J$35</definedName>
    <definedName name="VN" localSheetId="0">CALCULADORA!$G$12</definedName>
    <definedName name="VN">#REF!</definedName>
  </definedNames>
  <calcPr calcId="152511"/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D27" i="10"/>
  <c r="C14" i="10"/>
  <c r="E26" i="10"/>
  <c r="E25" i="10"/>
  <c r="E24" i="10"/>
  <c r="E23" i="10"/>
  <c r="E22" i="10"/>
  <c r="E21" i="10"/>
  <c r="E20" i="10"/>
  <c r="E19" i="10"/>
  <c r="E18" i="10"/>
  <c r="E27" i="10" s="1"/>
  <c r="E17" i="10"/>
  <c r="K17" i="10" l="1"/>
  <c r="G14" i="10"/>
  <c r="K18" i="10" l="1"/>
  <c r="K14" i="10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H14" i="10"/>
  <c r="K19" i="10" l="1"/>
  <c r="G15" i="10"/>
  <c r="H15" i="10"/>
  <c r="K16" i="10"/>
  <c r="K15" i="10"/>
  <c r="G16" i="10" l="1"/>
  <c r="K20" i="10"/>
  <c r="H16" i="10"/>
  <c r="K21" i="10" l="1"/>
  <c r="G17" i="10"/>
  <c r="H17" i="10"/>
  <c r="H18" i="10" l="1"/>
  <c r="G18" i="10"/>
  <c r="K22" i="10"/>
  <c r="K23" i="10" l="1"/>
  <c r="G19" i="10"/>
  <c r="H19" i="10"/>
  <c r="F20" i="10" s="1"/>
  <c r="K24" i="10" l="1"/>
  <c r="G20" i="10"/>
  <c r="H20" i="10"/>
  <c r="F21" i="10" s="1"/>
  <c r="K25" i="10" l="1"/>
  <c r="G21" i="10"/>
  <c r="H21" i="10"/>
  <c r="F22" i="10" s="1"/>
  <c r="D6" i="10" l="1"/>
  <c r="K26" i="10"/>
  <c r="H22" i="10"/>
  <c r="F23" i="10" s="1"/>
  <c r="G22" i="10" l="1"/>
  <c r="G23" i="10"/>
  <c r="H23" i="10"/>
  <c r="F24" i="10" s="1"/>
  <c r="H24" i="10" l="1"/>
  <c r="F25" i="10" s="1"/>
  <c r="G25" i="10" l="1"/>
  <c r="H25" i="10"/>
  <c r="F26" i="10" s="1"/>
  <c r="F27" i="10" s="1"/>
  <c r="G24" i="10"/>
  <c r="H26" i="10" l="1"/>
  <c r="G26" i="10" l="1"/>
  <c r="G5" i="10" l="1"/>
  <c r="L26" i="10" s="1"/>
  <c r="G27" i="10"/>
  <c r="L24" i="10" l="1"/>
  <c r="L16" i="10"/>
  <c r="L19" i="10"/>
  <c r="L25" i="10"/>
  <c r="L15" i="10"/>
  <c r="L18" i="10"/>
  <c r="L22" i="10"/>
  <c r="L21" i="10"/>
  <c r="L17" i="10"/>
  <c r="L23" i="10"/>
  <c r="L20" i="10"/>
  <c r="L27" i="10" l="1"/>
  <c r="M15" i="10" s="1"/>
  <c r="M26" i="10"/>
  <c r="M22" i="10"/>
  <c r="M24" i="10"/>
  <c r="M19" i="10"/>
  <c r="M17" i="10"/>
  <c r="M20" i="10"/>
  <c r="M23" i="10"/>
  <c r="M21" i="10"/>
  <c r="M18" i="10"/>
  <c r="M25" i="10"/>
  <c r="M16" i="10"/>
  <c r="M27" i="10" l="1"/>
  <c r="G8" i="10" s="1"/>
</calcChain>
</file>

<file path=xl/sharedStrings.xml><?xml version="1.0" encoding="utf-8"?>
<sst xmlns="http://schemas.openxmlformats.org/spreadsheetml/2006/main" count="28" uniqueCount="28">
  <si>
    <t>Días</t>
  </si>
  <si>
    <t>Valor actual</t>
  </si>
  <si>
    <t>Duration</t>
  </si>
  <si>
    <t>TOTAL</t>
  </si>
  <si>
    <t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las Obligaciones Negociables, el interesado deberá basarse en sus propios cálculos y evaluación de la información publicada en el Suplemento de Prospecto y en particular las consideraciones de riesgo para la inversión. Las fechas son estimativas y no consideran cambios por en fechas de pago por feriados y/u otras circunstancias.</t>
  </si>
  <si>
    <t>CONDICIONES DE EMISION</t>
  </si>
  <si>
    <t>FECHA DE PAGO</t>
  </si>
  <si>
    <t>INTERESES</t>
  </si>
  <si>
    <t>TOTAL FLUJO DE FONDOS</t>
  </si>
  <si>
    <t>SALDO DE CAPITAL</t>
  </si>
  <si>
    <t>VN A SUSCRIBIR</t>
  </si>
  <si>
    <r>
      <t xml:space="preserve">    </t>
    </r>
    <r>
      <rPr>
        <b/>
        <u/>
        <sz val="11"/>
        <rFont val="Calibri"/>
        <family val="2"/>
        <scheme val="minor"/>
      </rPr>
      <t>Instrucciones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</t>
    </r>
  </si>
  <si>
    <t>Fecha de vencimiento</t>
  </si>
  <si>
    <t>Monto a emitir hasta VN</t>
  </si>
  <si>
    <t>Moneda</t>
  </si>
  <si>
    <t>TIR efectiva anual</t>
  </si>
  <si>
    <t>Precio de emisión</t>
  </si>
  <si>
    <t>Maturity -en meses-</t>
  </si>
  <si>
    <t>Duration -en meses-</t>
  </si>
  <si>
    <t>AMORTIZACIÓN</t>
  </si>
  <si>
    <t>Fecha de liquidación</t>
  </si>
  <si>
    <t>1) Ingrese en la celda G4 la cantidad de títulos a suscribir.</t>
  </si>
  <si>
    <t>2) Ingrese en la celda D8 la tasa de corte.</t>
  </si>
  <si>
    <t>AMORTIZACIÓN (%)</t>
  </si>
  <si>
    <t>Obligaciones Negociables                                                           LA BARRANCA S.R.L. SERIE I</t>
  </si>
  <si>
    <t>ARS</t>
  </si>
  <si>
    <t>Badlar Proyectada</t>
  </si>
  <si>
    <t>Cupón sobre Badlar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</si>
</sst>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\ #,##0;&quot;$&quot;\ \-#,##0"/>
    <numFmt numFmtId="43" formatCode="_ * #,##0.00_ ;_ * \-#,##0.00_ ;_ * &quot;-&quot;??_ ;_ @_ "/>
    <numFmt numFmtId="164" formatCode="_-* #,##0.00\ _P_t_s_-;\-* #,##0.00\ _P_t_s_-;_-* &quot;-&quot;??\ _P_t_s_-;_-@_-"/>
    <numFmt numFmtId="165" formatCode="0.0%"/>
    <numFmt numFmtId="166" formatCode="_ * #,##0_ ;_ * \-#,##0_ ;_ * &quot;-&quot;??_ ;_ @_ "/>
    <numFmt numFmtId="167" formatCode="0.000%"/>
    <numFmt numFmtId="168" formatCode="_-* #,##0\ _P_t_s_-;\-* #,##0\ _P_t_s_-;_-* &quot;-&quot;??\ _P_t_s_-;_-@_-"/>
    <numFmt numFmtId="169" formatCode="_-* #,##0.0000\ _P_t_s_-;\-* #,##0.0000\ _P_t_s_-;_-* &quot;-&quot;??\ _P_t_s_-;_-@_-"/>
    <numFmt numFmtId="170" formatCode="_-* #,##0.00\ [$€]_-;\-* #,##0.00\ [$€]_-;_-* &quot;-&quot;??\ [$€]_-;_-@_-"/>
    <numFmt numFmtId="171" formatCode="0.0000%"/>
    <numFmt numFmtId="172" formatCode="[$$-409]#,##0_ ;\-[$$-409]#,##0\ "/>
    <numFmt numFmtId="173" formatCode="[$-2C0A]d&quot; de &quot;mmmm&quot; de &quot;yyyy;@"/>
    <numFmt numFmtId="174" formatCode="d/m/yy"/>
    <numFmt numFmtId="175" formatCode="[$ARS]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8A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4C4C"/>
        <bgColor indexed="8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1"/>
        <bgColor indexed="8"/>
      </patternFill>
    </fill>
    <fill>
      <patternFill patternType="solid">
        <fgColor rgb="FF92D05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5" fillId="5" borderId="0" xfId="0" applyFont="1" applyFill="1" applyAlignment="1">
      <alignment horizontal="left" vertical="center" indent="1"/>
    </xf>
    <xf numFmtId="17" fontId="5" fillId="5" borderId="0" xfId="0" applyNumberFormat="1" applyFont="1" applyFill="1" applyAlignment="1">
      <alignment horizontal="left" vertical="center" indent="1"/>
    </xf>
    <xf numFmtId="0" fontId="5" fillId="5" borderId="0" xfId="0" applyFont="1" applyFill="1" applyAlignment="1" applyProtection="1">
      <alignment horizontal="left" vertical="center" indent="1"/>
    </xf>
    <xf numFmtId="9" fontId="11" fillId="7" borderId="0" xfId="6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10" fontId="6" fillId="4" borderId="0" xfId="0" applyNumberFormat="1" applyFont="1" applyFill="1" applyBorder="1" applyAlignment="1">
      <alignment horizontal="left" vertical="center" indent="1"/>
    </xf>
    <xf numFmtId="0" fontId="7" fillId="3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167" fontId="8" fillId="4" borderId="0" xfId="6" applyNumberFormat="1" applyFont="1" applyFill="1" applyBorder="1" applyAlignment="1">
      <alignment horizontal="left" vertical="center" indent="1"/>
    </xf>
    <xf numFmtId="17" fontId="5" fillId="3" borderId="0" xfId="0" applyNumberFormat="1" applyFont="1" applyFill="1" applyBorder="1" applyAlignment="1" applyProtection="1">
      <alignment horizontal="left" vertical="center" indent="1"/>
    </xf>
    <xf numFmtId="164" fontId="5" fillId="3" borderId="0" xfId="3" applyFont="1" applyFill="1" applyBorder="1" applyAlignment="1" applyProtection="1">
      <alignment horizontal="left" vertical="center" indent="1"/>
    </xf>
    <xf numFmtId="171" fontId="6" fillId="4" borderId="0" xfId="0" applyNumberFormat="1" applyFont="1" applyFill="1" applyBorder="1" applyAlignment="1">
      <alignment horizontal="left" vertical="center" indent="1"/>
    </xf>
    <xf numFmtId="165" fontId="5" fillId="3" borderId="0" xfId="6" applyNumberFormat="1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164" fontId="5" fillId="3" borderId="0" xfId="0" applyNumberFormat="1" applyFont="1" applyFill="1" applyBorder="1" applyAlignment="1" applyProtection="1">
      <alignment horizontal="left" vertical="center" indent="1"/>
    </xf>
    <xf numFmtId="164" fontId="5" fillId="3" borderId="0" xfId="3" applyFont="1" applyFill="1" applyAlignment="1">
      <alignment horizontal="left" vertical="center" indent="1"/>
    </xf>
    <xf numFmtId="168" fontId="5" fillId="3" borderId="0" xfId="3" applyNumberFormat="1" applyFont="1" applyFill="1" applyAlignment="1">
      <alignment horizontal="left" vertical="center" indent="1"/>
    </xf>
    <xf numFmtId="43" fontId="5" fillId="3" borderId="0" xfId="0" applyNumberFormat="1" applyFont="1" applyFill="1" applyAlignment="1">
      <alignment horizontal="left" vertical="center" indent="1"/>
    </xf>
    <xf numFmtId="164" fontId="5" fillId="3" borderId="0" xfId="3" applyNumberFormat="1" applyFont="1" applyFill="1" applyAlignment="1">
      <alignment horizontal="left" vertical="center" indent="1"/>
    </xf>
    <xf numFmtId="168" fontId="6" fillId="3" borderId="1" xfId="3" applyNumberFormat="1" applyFont="1" applyFill="1" applyBorder="1" applyAlignment="1">
      <alignment horizontal="left" vertical="center" indent="1"/>
    </xf>
    <xf numFmtId="164" fontId="6" fillId="3" borderId="2" xfId="3" applyNumberFormat="1" applyFont="1" applyFill="1" applyBorder="1" applyAlignment="1">
      <alignment horizontal="left" vertical="center" indent="1"/>
    </xf>
    <xf numFmtId="9" fontId="6" fillId="3" borderId="0" xfId="6" applyFont="1" applyFill="1" applyBorder="1" applyAlignment="1" applyProtection="1">
      <alignment horizontal="left" vertical="center" indent="1"/>
    </xf>
    <xf numFmtId="5" fontId="6" fillId="3" borderId="0" xfId="3" applyNumberFormat="1" applyFont="1" applyFill="1" applyBorder="1" applyAlignment="1" applyProtection="1">
      <alignment horizontal="left" vertical="center" indent="1"/>
    </xf>
    <xf numFmtId="5" fontId="5" fillId="3" borderId="0" xfId="0" applyNumberFormat="1" applyFont="1" applyFill="1" applyBorder="1" applyAlignment="1" applyProtection="1">
      <alignment horizontal="left" vertical="center" indent="1"/>
    </xf>
    <xf numFmtId="168" fontId="6" fillId="3" borderId="0" xfId="3" applyNumberFormat="1" applyFont="1" applyFill="1" applyBorder="1" applyAlignment="1">
      <alignment horizontal="left" vertical="center" indent="1"/>
    </xf>
    <xf numFmtId="14" fontId="5" fillId="3" borderId="0" xfId="0" applyNumberFormat="1" applyFont="1" applyFill="1" applyAlignment="1" applyProtection="1">
      <alignment horizontal="left" vertical="center" indent="1"/>
    </xf>
    <xf numFmtId="166" fontId="6" fillId="3" borderId="0" xfId="0" applyNumberFormat="1" applyFont="1" applyFill="1" applyBorder="1" applyAlignment="1">
      <alignment horizontal="left" vertical="center" indent="1"/>
    </xf>
    <xf numFmtId="166" fontId="6" fillId="4" borderId="0" xfId="0" applyNumberFormat="1" applyFont="1" applyFill="1" applyBorder="1" applyAlignment="1">
      <alignment horizontal="left" vertical="center" indent="1"/>
    </xf>
    <xf numFmtId="14" fontId="5" fillId="3" borderId="0" xfId="0" applyNumberFormat="1" applyFont="1" applyFill="1" applyAlignment="1">
      <alignment horizontal="left" vertical="center" indent="1"/>
    </xf>
    <xf numFmtId="168" fontId="5" fillId="3" borderId="0" xfId="0" applyNumberFormat="1" applyFont="1" applyFill="1" applyAlignment="1">
      <alignment horizontal="left" vertical="center" indent="1"/>
    </xf>
    <xf numFmtId="17" fontId="5" fillId="3" borderId="0" xfId="0" applyNumberFormat="1" applyFont="1" applyFill="1" applyAlignment="1">
      <alignment horizontal="left" vertical="center" indent="1"/>
    </xf>
    <xf numFmtId="169" fontId="5" fillId="3" borderId="0" xfId="3" applyNumberFormat="1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9" fontId="5" fillId="3" borderId="0" xfId="6" applyFont="1" applyFill="1" applyAlignment="1">
      <alignment horizontal="left" vertical="center" indent="1"/>
    </xf>
    <xf numFmtId="164" fontId="6" fillId="3" borderId="0" xfId="0" applyNumberFormat="1" applyFont="1" applyFill="1" applyAlignment="1">
      <alignment horizontal="left" vertical="center" indent="1"/>
    </xf>
    <xf numFmtId="164" fontId="5" fillId="3" borderId="0" xfId="0" applyNumberFormat="1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164" fontId="6" fillId="3" borderId="0" xfId="3" applyFont="1" applyFill="1" applyAlignment="1">
      <alignment horizontal="left" vertical="center" indent="1"/>
    </xf>
    <xf numFmtId="0" fontId="11" fillId="9" borderId="0" xfId="0" applyFont="1" applyFill="1" applyBorder="1" applyAlignment="1" applyProtection="1">
      <alignment horizontal="left" vertical="center" indent="1"/>
    </xf>
    <xf numFmtId="0" fontId="5" fillId="7" borderId="3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3" fontId="5" fillId="3" borderId="3" xfId="0" applyNumberFormat="1" applyFont="1" applyFill="1" applyBorder="1" applyAlignment="1" applyProtection="1">
      <alignment horizontal="left" vertical="center" indent="2"/>
    </xf>
    <xf numFmtId="0" fontId="5" fillId="3" borderId="3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10" fontId="5" fillId="11" borderId="3" xfId="6" applyNumberFormat="1" applyFont="1" applyFill="1" applyBorder="1" applyAlignment="1" applyProtection="1">
      <alignment horizontal="center" vertical="center"/>
    </xf>
    <xf numFmtId="5" fontId="5" fillId="7" borderId="0" xfId="0" applyNumberFormat="1" applyFont="1" applyFill="1" applyBorder="1" applyAlignment="1" applyProtection="1">
      <alignment horizontal="center" vertical="center"/>
    </xf>
    <xf numFmtId="3" fontId="5" fillId="3" borderId="3" xfId="3" applyNumberFormat="1" applyFont="1" applyFill="1" applyBorder="1" applyAlignment="1" applyProtection="1">
      <alignment horizontal="center" vertical="center"/>
    </xf>
    <xf numFmtId="0" fontId="12" fillId="4" borderId="0" xfId="0" applyFont="1" applyFill="1"/>
    <xf numFmtId="10" fontId="6" fillId="4" borderId="3" xfId="6" applyNumberFormat="1" applyFont="1" applyFill="1" applyBorder="1" applyAlignment="1" applyProtection="1">
      <alignment horizontal="right" vertical="center"/>
    </xf>
    <xf numFmtId="9" fontId="6" fillId="3" borderId="3" xfId="0" applyNumberFormat="1" applyFont="1" applyFill="1" applyBorder="1" applyAlignment="1" applyProtection="1">
      <alignment horizontal="right" vertical="center"/>
    </xf>
    <xf numFmtId="166" fontId="6" fillId="3" borderId="3" xfId="0" applyNumberFormat="1" applyFont="1" applyFill="1" applyBorder="1" applyAlignment="1" applyProtection="1">
      <alignment horizontal="right" vertical="center"/>
    </xf>
    <xf numFmtId="43" fontId="6" fillId="3" borderId="3" xfId="0" applyNumberFormat="1" applyFont="1" applyFill="1" applyBorder="1" applyAlignment="1" applyProtection="1">
      <alignment horizontal="right" vertical="center"/>
    </xf>
    <xf numFmtId="174" fontId="5" fillId="4" borderId="3" xfId="0" applyNumberFormat="1" applyFont="1" applyFill="1" applyBorder="1" applyAlignment="1" applyProtection="1">
      <alignment horizontal="center" vertical="center"/>
    </xf>
    <xf numFmtId="174" fontId="5" fillId="3" borderId="3" xfId="0" applyNumberFormat="1" applyFont="1" applyFill="1" applyBorder="1" applyAlignment="1" applyProtection="1">
      <alignment horizontal="center" vertical="center"/>
    </xf>
    <xf numFmtId="10" fontId="5" fillId="8" borderId="3" xfId="3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 wrapText="1"/>
    </xf>
    <xf numFmtId="175" fontId="11" fillId="9" borderId="0" xfId="4" applyNumberFormat="1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75" fontId="5" fillId="3" borderId="3" xfId="0" applyNumberFormat="1" applyFont="1" applyFill="1" applyBorder="1" applyAlignment="1" applyProtection="1">
      <alignment horizontal="center" vertical="center"/>
    </xf>
    <xf numFmtId="175" fontId="5" fillId="10" borderId="3" xfId="0" applyNumberFormat="1" applyFont="1" applyFill="1" applyBorder="1" applyAlignment="1" applyProtection="1">
      <alignment horizontal="center" vertical="center"/>
    </xf>
    <xf numFmtId="175" fontId="5" fillId="3" borderId="3" xfId="3" applyNumberFormat="1" applyFont="1" applyFill="1" applyBorder="1" applyAlignment="1" applyProtection="1">
      <alignment horizontal="center" vertical="center"/>
    </xf>
    <xf numFmtId="175" fontId="11" fillId="7" borderId="0" xfId="3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indent="1"/>
    </xf>
    <xf numFmtId="17" fontId="5" fillId="3" borderId="0" xfId="0" applyNumberFormat="1" applyFont="1" applyFill="1" applyBorder="1" applyAlignment="1" applyProtection="1">
      <alignment horizontal="left" vertical="center" wrapText="1" indent="1"/>
    </xf>
    <xf numFmtId="0" fontId="13" fillId="7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indent="1"/>
    </xf>
    <xf numFmtId="0" fontId="5" fillId="5" borderId="0" xfId="0" applyFont="1" applyFill="1" applyBorder="1" applyAlignment="1" applyProtection="1">
      <alignment horizontal="left" vertical="center" indent="1"/>
    </xf>
    <xf numFmtId="0" fontId="10" fillId="6" borderId="0" xfId="0" applyFont="1" applyFill="1" applyBorder="1" applyAlignment="1" applyProtection="1">
      <alignment horizontal="center" vertical="center" wrapText="1"/>
    </xf>
    <xf numFmtId="10" fontId="5" fillId="3" borderId="3" xfId="6" applyNumberFormat="1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173" fontId="5" fillId="3" borderId="0" xfId="0" applyNumberFormat="1" applyFont="1" applyFill="1" applyAlignment="1">
      <alignment horizontal="left" vertical="center" indent="1"/>
    </xf>
  </cellXfs>
  <cellStyles count="8">
    <cellStyle name="=C:\WINNT\SYSTEM32\COMMAND.COM" xfId="1"/>
    <cellStyle name="Euro" xfId="2"/>
    <cellStyle name="Millares" xfId="3" builtinId="3"/>
    <cellStyle name="Millares 2" xfId="4"/>
    <cellStyle name="Normal" xfId="0" builtinId="0"/>
    <cellStyle name="Normal 3" xfId="5"/>
    <cellStyle name="Porcentaje" xfId="6" builtinId="5"/>
    <cellStyle name="Porcentual 2" xfId="7"/>
  </cellStyles>
  <dxfs count="0"/>
  <tableStyles count="0" defaultTableStyle="TableStyleMedium9" defaultPivotStyle="PivotStyleLight16"/>
  <colors>
    <mruColors>
      <color rgb="FF92D051"/>
      <color rgb="FF96DC02"/>
      <color rgb="FF4C4C4C"/>
      <color rgb="FF959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227463</xdr:colOff>
      <xdr:row>0</xdr:row>
      <xdr:rowOff>37911</xdr:rowOff>
    </xdr:from>
    <xdr:to>
      <xdr:col>2</xdr:col>
      <xdr:colOff>2038675</xdr:colOff>
      <xdr:row>1</xdr:row>
      <xdr:rowOff>777165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xmlns="" id="{B133CA53-26C6-4142-AF57-5178B6EC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63" y="37911"/>
          <a:ext cx="2748453" cy="92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topLeftCell="A4" zoomScaleNormal="134" workbookViewId="0">
      <selection activeCell="D7" sqref="D7"/>
    </sheetView>
  </sheetViews>
  <sheetFormatPr baseColWidth="10" defaultColWidth="11.42578125" defaultRowHeight="15" outlineLevelCol="1" x14ac:dyDescent="0.2"/>
  <cols>
    <col min="1" max="1" width="3.140625" style="7" customWidth="1"/>
    <col min="2" max="2" width="5.42578125" style="7" customWidth="1"/>
    <col min="3" max="3" width="32.28515625" style="38" bestFit="1" customWidth="1"/>
    <col min="4" max="4" width="20.28515625" style="7" customWidth="1"/>
    <col min="5" max="5" width="19" style="7" customWidth="1"/>
    <col min="6" max="6" width="21.7109375" style="7" bestFit="1" customWidth="1"/>
    <col min="7" max="7" width="18.85546875" style="7" customWidth="1"/>
    <col min="8" max="8" width="17.5703125" style="7" customWidth="1"/>
    <col min="9" max="9" width="13.7109375" style="7" customWidth="1"/>
    <col min="10" max="10" width="8" style="7" customWidth="1"/>
    <col min="11" max="11" width="13.42578125" style="7" hidden="1" customWidth="1" outlineLevel="1"/>
    <col min="12" max="12" width="17.42578125" style="7" hidden="1" customWidth="1" outlineLevel="1"/>
    <col min="13" max="13" width="20.28515625" style="7" hidden="1" customWidth="1" outlineLevel="1"/>
    <col min="14" max="14" width="3.85546875" style="7" customWidth="1" collapsed="1"/>
    <col min="15" max="16384" width="11.42578125" style="7"/>
  </cols>
  <sheetData>
    <row r="1" spans="1:14" s="1" customFormat="1" x14ac:dyDescent="0.2">
      <c r="C1" s="2"/>
    </row>
    <row r="2" spans="1:14" s="1" customFormat="1" ht="62.1" customHeight="1" x14ac:dyDescent="0.2">
      <c r="A2" s="3"/>
      <c r="B2" s="75"/>
      <c r="C2" s="75"/>
      <c r="D2" s="3"/>
      <c r="E2" s="76" t="s">
        <v>24</v>
      </c>
      <c r="F2" s="76"/>
      <c r="G2" s="76"/>
      <c r="H2" s="76"/>
      <c r="I2" s="76"/>
    </row>
    <row r="3" spans="1:14" x14ac:dyDescent="0.2">
      <c r="A3" s="5"/>
      <c r="B3" s="6"/>
      <c r="C3" s="6"/>
      <c r="D3" s="6"/>
      <c r="E3" s="6"/>
      <c r="F3" s="6"/>
      <c r="G3" s="6"/>
      <c r="H3" s="6"/>
      <c r="I3" s="6"/>
      <c r="N3" s="8"/>
    </row>
    <row r="4" spans="1:14" ht="29.1" customHeight="1" x14ac:dyDescent="0.2">
      <c r="A4" s="5"/>
      <c r="B4" s="6"/>
      <c r="C4" s="73" t="s">
        <v>5</v>
      </c>
      <c r="D4" s="73"/>
      <c r="E4" s="6"/>
      <c r="F4" s="46" t="s">
        <v>10</v>
      </c>
      <c r="G4" s="65">
        <v>10000000</v>
      </c>
      <c r="H4" s="6"/>
      <c r="I4" s="6"/>
      <c r="K4" s="9"/>
      <c r="L4" s="10"/>
      <c r="N4" s="8"/>
    </row>
    <row r="5" spans="1:14" ht="24.95" customHeight="1" x14ac:dyDescent="0.2">
      <c r="A5" s="5"/>
      <c r="B5" s="6"/>
      <c r="C5" s="47" t="s">
        <v>20</v>
      </c>
      <c r="D5" s="61">
        <v>43613</v>
      </c>
      <c r="E5" s="6"/>
      <c r="F5" s="49" t="s">
        <v>15</v>
      </c>
      <c r="G5" s="57">
        <f>+XIRR(G14:G26,C14:C26)</f>
        <v>0.75872720479965206</v>
      </c>
      <c r="H5" s="11"/>
      <c r="I5" s="6"/>
      <c r="K5" s="12"/>
      <c r="L5" s="13"/>
      <c r="N5" s="8"/>
    </row>
    <row r="6" spans="1:14" ht="24.95" customHeight="1" x14ac:dyDescent="0.2">
      <c r="A6" s="5"/>
      <c r="B6" s="6"/>
      <c r="C6" s="47" t="s">
        <v>12</v>
      </c>
      <c r="D6" s="62">
        <f>+C26</f>
        <v>44709</v>
      </c>
      <c r="E6" s="14"/>
      <c r="F6" s="49" t="s">
        <v>16</v>
      </c>
      <c r="G6" s="58">
        <v>1</v>
      </c>
      <c r="H6" s="11"/>
      <c r="I6" s="6"/>
      <c r="K6" s="12"/>
      <c r="L6" s="13"/>
      <c r="N6" s="8"/>
    </row>
    <row r="7" spans="1:14" ht="24.95" customHeight="1" x14ac:dyDescent="0.2">
      <c r="A7" s="5"/>
      <c r="B7" s="6"/>
      <c r="C7" s="47" t="s">
        <v>13</v>
      </c>
      <c r="D7" s="55">
        <v>10000000</v>
      </c>
      <c r="E7" s="15"/>
      <c r="F7" s="49" t="s">
        <v>17</v>
      </c>
      <c r="G7" s="59">
        <v>36</v>
      </c>
      <c r="H7" s="6"/>
      <c r="I7" s="6"/>
      <c r="K7" s="9"/>
      <c r="L7" s="16"/>
      <c r="N7" s="8"/>
    </row>
    <row r="8" spans="1:14" ht="24.95" customHeight="1" x14ac:dyDescent="0.2">
      <c r="A8" s="5"/>
      <c r="B8" s="6"/>
      <c r="C8" s="48" t="s">
        <v>27</v>
      </c>
      <c r="D8" s="63">
        <v>0.08</v>
      </c>
      <c r="E8" s="6"/>
      <c r="F8" s="49" t="s">
        <v>18</v>
      </c>
      <c r="G8" s="60">
        <f>+M27/365*12</f>
        <v>14.248640032418518</v>
      </c>
      <c r="H8" s="17"/>
      <c r="I8" s="6"/>
      <c r="K8" s="9"/>
      <c r="L8" s="16"/>
      <c r="N8" s="8"/>
    </row>
    <row r="9" spans="1:14" ht="24.95" customHeight="1" x14ac:dyDescent="0.2">
      <c r="A9" s="5"/>
      <c r="B9" s="71"/>
      <c r="C9" s="47" t="s">
        <v>26</v>
      </c>
      <c r="D9" s="77">
        <v>0.52656000000000003</v>
      </c>
      <c r="E9" s="71"/>
      <c r="F9" s="18"/>
      <c r="G9" s="18"/>
      <c r="H9" s="17"/>
      <c r="I9" s="71"/>
      <c r="K9" s="9"/>
      <c r="L9" s="16"/>
      <c r="N9" s="8"/>
    </row>
    <row r="10" spans="1:14" ht="24.95" customHeight="1" x14ac:dyDescent="0.2">
      <c r="A10" s="5"/>
      <c r="B10" s="6"/>
      <c r="C10" s="47" t="s">
        <v>14</v>
      </c>
      <c r="D10" s="51" t="s">
        <v>25</v>
      </c>
      <c r="E10" s="6"/>
      <c r="F10" s="18"/>
      <c r="G10" s="18"/>
      <c r="H10" s="6"/>
      <c r="I10" s="6"/>
      <c r="K10" s="9"/>
      <c r="L10" s="16"/>
      <c r="N10" s="8"/>
    </row>
    <row r="11" spans="1:14" ht="5.2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K11" s="9"/>
      <c r="L11" s="16"/>
      <c r="N11" s="8"/>
    </row>
    <row r="12" spans="1:14" ht="18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N12" s="8"/>
    </row>
    <row r="13" spans="1:14" ht="29.1" customHeight="1" x14ac:dyDescent="0.2">
      <c r="A13" s="5"/>
      <c r="B13" s="6"/>
      <c r="C13" s="64" t="s">
        <v>6</v>
      </c>
      <c r="D13" s="64" t="s">
        <v>23</v>
      </c>
      <c r="E13" s="64" t="s">
        <v>19</v>
      </c>
      <c r="F13" s="64" t="s">
        <v>7</v>
      </c>
      <c r="G13" s="64" t="s">
        <v>8</v>
      </c>
      <c r="H13" s="64" t="s">
        <v>9</v>
      </c>
      <c r="I13" s="19"/>
      <c r="K13" s="20" t="s">
        <v>0</v>
      </c>
      <c r="L13" s="20" t="s">
        <v>1</v>
      </c>
      <c r="M13" s="21" t="s">
        <v>2</v>
      </c>
      <c r="N13" s="8"/>
    </row>
    <row r="14" spans="1:14" ht="26.1" customHeight="1" x14ac:dyDescent="0.2">
      <c r="A14" s="5"/>
      <c r="B14" s="66">
        <v>0</v>
      </c>
      <c r="C14" s="50">
        <f>+D5</f>
        <v>43613</v>
      </c>
      <c r="D14" s="52"/>
      <c r="E14" s="67"/>
      <c r="F14" s="68"/>
      <c r="G14" s="69">
        <f>+G4*G6*-1</f>
        <v>-10000000</v>
      </c>
      <c r="H14" s="68">
        <f>+G4</f>
        <v>10000000</v>
      </c>
      <c r="I14" s="22"/>
      <c r="K14" s="23">
        <f>+B14</f>
        <v>0</v>
      </c>
      <c r="M14" s="24"/>
      <c r="N14" s="8"/>
    </row>
    <row r="15" spans="1:14" ht="26.1" customHeight="1" x14ac:dyDescent="0.2">
      <c r="A15" s="5"/>
      <c r="B15" s="66">
        <v>1</v>
      </c>
      <c r="C15" s="50">
        <f>+EDATE(C14,3)</f>
        <v>43705</v>
      </c>
      <c r="D15" s="53"/>
      <c r="E15" s="67"/>
      <c r="F15" s="68">
        <f>+H14*($D$8+$D$9)/365*(C15-C14)</f>
        <v>1528863.5616438356</v>
      </c>
      <c r="G15" s="69">
        <f>+F15+E15</f>
        <v>1528863.5616438356</v>
      </c>
      <c r="H15" s="68">
        <f t="shared" ref="H15:H16" si="0">+H14-E15</f>
        <v>10000000</v>
      </c>
      <c r="I15" s="22"/>
      <c r="J15" s="25"/>
      <c r="K15" s="24">
        <f t="shared" ref="K15:K26" si="1">+C15-$C$14</f>
        <v>92</v>
      </c>
      <c r="L15" s="25">
        <f>+G15/((1+$G$5)^(K15/365))</f>
        <v>1326066.4186204141</v>
      </c>
      <c r="M15" s="26">
        <f>+L15/$L$27*K15</f>
        <v>12.199811039491596</v>
      </c>
      <c r="N15" s="8"/>
    </row>
    <row r="16" spans="1:14" ht="26.1" customHeight="1" x14ac:dyDescent="0.2">
      <c r="A16" s="5"/>
      <c r="B16" s="66">
        <f>+B15+1</f>
        <v>2</v>
      </c>
      <c r="C16" s="50">
        <f>+EDATE(C15,3)</f>
        <v>43797</v>
      </c>
      <c r="D16" s="53"/>
      <c r="E16" s="67"/>
      <c r="F16" s="68">
        <f>+H15*($D$8+$D$9)/365*(C16-C15)</f>
        <v>1528863.5616438356</v>
      </c>
      <c r="G16" s="69">
        <f>+F16+E16</f>
        <v>1528863.5616438356</v>
      </c>
      <c r="H16" s="68">
        <f t="shared" si="0"/>
        <v>10000000</v>
      </c>
      <c r="I16" s="22"/>
      <c r="J16" s="25"/>
      <c r="K16" s="24">
        <f t="shared" si="1"/>
        <v>184</v>
      </c>
      <c r="L16" s="25">
        <f t="shared" ref="L16:L26" si="2">+G16/((1+$G$5)^(K16/365))</f>
        <v>1150169.4400395558</v>
      </c>
      <c r="M16" s="26">
        <f>+L16/$L$27*K16</f>
        <v>21.16311767623014</v>
      </c>
      <c r="N16" s="8"/>
    </row>
    <row r="17" spans="1:14" ht="26.1" customHeight="1" x14ac:dyDescent="0.2">
      <c r="A17" s="5"/>
      <c r="B17" s="66">
        <f t="shared" ref="B17:B26" si="3">+B16+1</f>
        <v>3</v>
      </c>
      <c r="C17" s="50">
        <f>+EDATE(C16,3)</f>
        <v>43889</v>
      </c>
      <c r="D17" s="53">
        <v>0.1</v>
      </c>
      <c r="E17" s="67">
        <f t="shared" ref="E17:E26" si="4">+D17*$G$4</f>
        <v>1000000</v>
      </c>
      <c r="F17" s="68">
        <f>+H16*($D$8+$D$9)/365*(C17-C16)</f>
        <v>1528863.5616438356</v>
      </c>
      <c r="G17" s="69">
        <f t="shared" ref="G17:G26" si="5">+F17+E17</f>
        <v>2528863.5616438356</v>
      </c>
      <c r="H17" s="68">
        <f t="shared" ref="H17:H26" si="6">+H16-E17</f>
        <v>9000000</v>
      </c>
      <c r="I17" s="22"/>
      <c r="J17" s="25"/>
      <c r="K17" s="24">
        <f t="shared" ref="K17:K25" si="7">+C17-$C$14</f>
        <v>276</v>
      </c>
      <c r="L17" s="25">
        <f t="shared" ref="L17:L25" si="8">+G17/((1+$G$5)^(K17/365))</f>
        <v>1650118.145800933</v>
      </c>
      <c r="M17" s="26">
        <f t="shared" ref="M17:M25" si="9">+L17/$L$27*K17</f>
        <v>45.543260779994505</v>
      </c>
      <c r="N17" s="8"/>
    </row>
    <row r="18" spans="1:14" ht="26.1" customHeight="1" x14ac:dyDescent="0.2">
      <c r="A18" s="5"/>
      <c r="B18" s="66">
        <f t="shared" si="3"/>
        <v>4</v>
      </c>
      <c r="C18" s="50">
        <f>+EDATE(C17,3)</f>
        <v>43979</v>
      </c>
      <c r="D18" s="53">
        <v>0.1</v>
      </c>
      <c r="E18" s="67">
        <f t="shared" si="4"/>
        <v>1000000</v>
      </c>
      <c r="F18" s="68">
        <f>+H17*($D$8+$D$9)/365*(C18-C17)</f>
        <v>1346064.6575342466</v>
      </c>
      <c r="G18" s="69">
        <f t="shared" si="5"/>
        <v>2346064.6575342463</v>
      </c>
      <c r="H18" s="68">
        <f t="shared" si="6"/>
        <v>8000000</v>
      </c>
      <c r="I18" s="22"/>
      <c r="J18" s="25"/>
      <c r="K18" s="24">
        <f t="shared" si="7"/>
        <v>366</v>
      </c>
      <c r="L18" s="25">
        <f t="shared" si="8"/>
        <v>1331894.1731062918</v>
      </c>
      <c r="M18" s="26">
        <f t="shared" si="9"/>
        <v>48.747326688475717</v>
      </c>
      <c r="N18" s="8"/>
    </row>
    <row r="19" spans="1:14" ht="26.1" customHeight="1" x14ac:dyDescent="0.2">
      <c r="A19" s="5"/>
      <c r="B19" s="66">
        <f t="shared" si="3"/>
        <v>5</v>
      </c>
      <c r="C19" s="50">
        <f>+EDATE(C18,3)</f>
        <v>44071</v>
      </c>
      <c r="D19" s="53">
        <v>0.1</v>
      </c>
      <c r="E19" s="67">
        <f t="shared" si="4"/>
        <v>1000000</v>
      </c>
      <c r="F19" s="68">
        <f>+H18*($D$8+$D$9)/365*(C19-C18)</f>
        <v>1223090.8493150685</v>
      </c>
      <c r="G19" s="69">
        <f t="shared" si="5"/>
        <v>2223090.8493150687</v>
      </c>
      <c r="H19" s="68">
        <f t="shared" si="6"/>
        <v>7000000</v>
      </c>
      <c r="I19" s="22"/>
      <c r="J19" s="25"/>
      <c r="K19" s="24">
        <f t="shared" si="7"/>
        <v>458</v>
      </c>
      <c r="L19" s="25">
        <f t="shared" si="8"/>
        <v>1094670.7153724337</v>
      </c>
      <c r="M19" s="26">
        <f t="shared" si="9"/>
        <v>50.135918715497965</v>
      </c>
      <c r="N19" s="8"/>
    </row>
    <row r="20" spans="1:14" ht="26.1" customHeight="1" x14ac:dyDescent="0.2">
      <c r="A20" s="5"/>
      <c r="B20" s="66">
        <f t="shared" si="3"/>
        <v>6</v>
      </c>
      <c r="C20" s="50">
        <f>+EDATE(C19,3)</f>
        <v>44163</v>
      </c>
      <c r="D20" s="53">
        <v>0.1</v>
      </c>
      <c r="E20" s="67">
        <f t="shared" si="4"/>
        <v>1000000</v>
      </c>
      <c r="F20" s="68">
        <f>+H19*($D$8+$D$9)/365*(C20-C19)</f>
        <v>1070204.493150685</v>
      </c>
      <c r="G20" s="69">
        <f t="shared" si="5"/>
        <v>2070204.493150685</v>
      </c>
      <c r="H20" s="68">
        <f t="shared" si="6"/>
        <v>6000000</v>
      </c>
      <c r="I20" s="22"/>
      <c r="J20" s="25"/>
      <c r="K20" s="24">
        <f t="shared" si="7"/>
        <v>550</v>
      </c>
      <c r="L20" s="25">
        <f t="shared" si="8"/>
        <v>884170.62658938044</v>
      </c>
      <c r="M20" s="26">
        <f t="shared" si="9"/>
        <v>48.629384415315592</v>
      </c>
      <c r="N20" s="8"/>
    </row>
    <row r="21" spans="1:14" ht="26.1" customHeight="1" x14ac:dyDescent="0.2">
      <c r="A21" s="5"/>
      <c r="B21" s="66">
        <f t="shared" si="3"/>
        <v>7</v>
      </c>
      <c r="C21" s="50">
        <f>+EDATE(C20,3)</f>
        <v>44255</v>
      </c>
      <c r="D21" s="53">
        <v>0.1</v>
      </c>
      <c r="E21" s="67">
        <f t="shared" si="4"/>
        <v>1000000</v>
      </c>
      <c r="F21" s="68">
        <f>+H20*($D$8+$D$9)/365*(C21-C20)</f>
        <v>917318.1369863014</v>
      </c>
      <c r="G21" s="69">
        <f t="shared" si="5"/>
        <v>1917318.1369863013</v>
      </c>
      <c r="H21" s="68">
        <f t="shared" si="6"/>
        <v>5000000</v>
      </c>
      <c r="I21" s="22"/>
      <c r="J21" s="25"/>
      <c r="K21" s="24">
        <f t="shared" si="7"/>
        <v>642</v>
      </c>
      <c r="L21" s="25">
        <f t="shared" si="8"/>
        <v>710253.79635991959</v>
      </c>
      <c r="M21" s="26">
        <f t="shared" si="9"/>
        <v>45.598293682142291</v>
      </c>
      <c r="N21" s="8"/>
    </row>
    <row r="22" spans="1:14" ht="26.1" customHeight="1" x14ac:dyDescent="0.2">
      <c r="A22" s="5"/>
      <c r="B22" s="66">
        <f t="shared" si="3"/>
        <v>8</v>
      </c>
      <c r="C22" s="50">
        <f>+EDATE(C21,3)</f>
        <v>44344</v>
      </c>
      <c r="D22" s="53">
        <v>0.1</v>
      </c>
      <c r="E22" s="67">
        <f t="shared" si="4"/>
        <v>1000000</v>
      </c>
      <c r="F22" s="68">
        <f>+H21*($D$8+$D$9)/365*(C22-C21)</f>
        <v>739504.65753424657</v>
      </c>
      <c r="G22" s="69">
        <f t="shared" si="5"/>
        <v>1739504.6575342466</v>
      </c>
      <c r="H22" s="68">
        <f t="shared" si="6"/>
        <v>4000000</v>
      </c>
      <c r="I22" s="22"/>
      <c r="J22" s="25"/>
      <c r="K22" s="24">
        <f t="shared" si="7"/>
        <v>731</v>
      </c>
      <c r="L22" s="25">
        <f t="shared" si="8"/>
        <v>561509.17404080916</v>
      </c>
      <c r="M22" s="26">
        <f t="shared" si="9"/>
        <v>41.046320582627452</v>
      </c>
      <c r="N22" s="8"/>
    </row>
    <row r="23" spans="1:14" ht="26.1" customHeight="1" x14ac:dyDescent="0.2">
      <c r="A23" s="5"/>
      <c r="B23" s="66">
        <f t="shared" si="3"/>
        <v>9</v>
      </c>
      <c r="C23" s="50">
        <f>+EDATE(C22,3)</f>
        <v>44436</v>
      </c>
      <c r="D23" s="53">
        <v>0.1</v>
      </c>
      <c r="E23" s="67">
        <f t="shared" si="4"/>
        <v>1000000</v>
      </c>
      <c r="F23" s="68">
        <f t="shared" ref="F23" si="10">+H22*($D$8+$D$9)/365*(C23-C22)</f>
        <v>611545.42465753423</v>
      </c>
      <c r="G23" s="69">
        <f t="shared" si="5"/>
        <v>1611545.4246575343</v>
      </c>
      <c r="H23" s="68">
        <f t="shared" si="6"/>
        <v>3000000</v>
      </c>
      <c r="I23" s="22"/>
      <c r="J23" s="25"/>
      <c r="K23" s="24">
        <f t="shared" si="7"/>
        <v>823</v>
      </c>
      <c r="L23" s="25">
        <f t="shared" si="8"/>
        <v>451201.31732586515</v>
      </c>
      <c r="M23" s="26">
        <f t="shared" si="9"/>
        <v>37.133868379952432</v>
      </c>
      <c r="N23" s="8"/>
    </row>
    <row r="24" spans="1:14" ht="26.1" customHeight="1" x14ac:dyDescent="0.2">
      <c r="A24" s="5"/>
      <c r="B24" s="66">
        <f t="shared" si="3"/>
        <v>10</v>
      </c>
      <c r="C24" s="50">
        <f>+EDATE(C23,3)</f>
        <v>44528</v>
      </c>
      <c r="D24" s="53">
        <v>0.1</v>
      </c>
      <c r="E24" s="67">
        <f t="shared" si="4"/>
        <v>1000000</v>
      </c>
      <c r="F24" s="68">
        <f>+H23*($D$8+$D$9)/365*(C24-C23)</f>
        <v>458659.0684931507</v>
      </c>
      <c r="G24" s="69">
        <f t="shared" si="5"/>
        <v>1458659.0684931506</v>
      </c>
      <c r="H24" s="68">
        <f t="shared" si="6"/>
        <v>2000000</v>
      </c>
      <c r="I24" s="22"/>
      <c r="J24" s="25"/>
      <c r="K24" s="24">
        <f t="shared" si="7"/>
        <v>915</v>
      </c>
      <c r="L24" s="25">
        <f t="shared" si="8"/>
        <v>354224.1370451636</v>
      </c>
      <c r="M24" s="26">
        <f t="shared" si="9"/>
        <v>32.411508508240075</v>
      </c>
      <c r="N24" s="8"/>
    </row>
    <row r="25" spans="1:14" ht="26.1" customHeight="1" x14ac:dyDescent="0.2">
      <c r="A25" s="5"/>
      <c r="B25" s="66">
        <f t="shared" si="3"/>
        <v>11</v>
      </c>
      <c r="C25" s="50">
        <f>+EDATE(C24,3)</f>
        <v>44620</v>
      </c>
      <c r="D25" s="53">
        <v>0.1</v>
      </c>
      <c r="E25" s="67">
        <f t="shared" si="4"/>
        <v>1000000</v>
      </c>
      <c r="F25" s="68">
        <f>+H24*($D$8+$D$9)/365*(C25-C24)</f>
        <v>305772.71232876711</v>
      </c>
      <c r="G25" s="69">
        <f t="shared" si="5"/>
        <v>1305772.7123287672</v>
      </c>
      <c r="H25" s="68">
        <f t="shared" si="6"/>
        <v>1000000</v>
      </c>
      <c r="I25" s="22"/>
      <c r="J25" s="25"/>
      <c r="K25" s="24">
        <f t="shared" si="7"/>
        <v>1007</v>
      </c>
      <c r="L25" s="25">
        <f t="shared" si="8"/>
        <v>275035.33320845239</v>
      </c>
      <c r="M25" s="26">
        <f t="shared" si="9"/>
        <v>27.696058027265945</v>
      </c>
      <c r="N25" s="8"/>
    </row>
    <row r="26" spans="1:14" ht="26.1" customHeight="1" x14ac:dyDescent="0.2">
      <c r="A26" s="5"/>
      <c r="B26" s="66">
        <f t="shared" si="3"/>
        <v>12</v>
      </c>
      <c r="C26" s="50">
        <f>+EDATE(C25,3)</f>
        <v>44709</v>
      </c>
      <c r="D26" s="53">
        <v>0.1</v>
      </c>
      <c r="E26" s="67">
        <f t="shared" si="4"/>
        <v>1000000</v>
      </c>
      <c r="F26" s="68">
        <f>+H25*($D$8+$D$9)/365*(C26-C25)</f>
        <v>147900.93150684933</v>
      </c>
      <c r="G26" s="69">
        <f t="shared" si="5"/>
        <v>1147900.9315068494</v>
      </c>
      <c r="H26" s="68">
        <f t="shared" si="6"/>
        <v>0</v>
      </c>
      <c r="I26" s="22"/>
      <c r="J26" s="25"/>
      <c r="K26" s="24">
        <f t="shared" si="1"/>
        <v>1096</v>
      </c>
      <c r="L26" s="25">
        <f t="shared" si="2"/>
        <v>210686.7321763502</v>
      </c>
      <c r="M26" s="26">
        <f>+L26/$L$27*K26</f>
        <v>23.091265824162775</v>
      </c>
      <c r="N26" s="8"/>
    </row>
    <row r="27" spans="1:14" ht="29.1" customHeight="1" x14ac:dyDescent="0.2">
      <c r="A27" s="5"/>
      <c r="B27" s="6"/>
      <c r="C27" s="78" t="s">
        <v>3</v>
      </c>
      <c r="D27" s="4">
        <f>SUM(D14:D26)</f>
        <v>0.99999999999999989</v>
      </c>
      <c r="E27" s="70">
        <f>SUM(E14:E26)</f>
        <v>10000000</v>
      </c>
      <c r="F27" s="70">
        <f>SUM(F14:F26)</f>
        <v>11406651.616438359</v>
      </c>
      <c r="G27" s="70">
        <f>SUM(G14:G26)</f>
        <v>11406651.616438355</v>
      </c>
      <c r="H27" s="54"/>
      <c r="I27" s="6"/>
      <c r="K27" s="24"/>
      <c r="L27" s="27">
        <f>SUM(L14:L26)</f>
        <v>10000000.00968557</v>
      </c>
      <c r="M27" s="28">
        <f>SUM(M14:M26)</f>
        <v>433.39613431939654</v>
      </c>
      <c r="N27" s="8"/>
    </row>
    <row r="28" spans="1:14" ht="14.25" customHeight="1" x14ac:dyDescent="0.2">
      <c r="A28" s="5"/>
      <c r="B28" s="6"/>
      <c r="C28" s="15"/>
      <c r="D28" s="29"/>
      <c r="E28" s="30"/>
      <c r="F28" s="30"/>
      <c r="G28" s="30"/>
      <c r="H28" s="31"/>
      <c r="I28" s="6"/>
      <c r="K28" s="24"/>
      <c r="L28" s="32"/>
      <c r="M28" s="32"/>
      <c r="N28" s="8"/>
    </row>
    <row r="29" spans="1:14" x14ac:dyDescent="0.2">
      <c r="A29" s="33"/>
      <c r="B29" s="74" t="s">
        <v>11</v>
      </c>
      <c r="C29" s="74"/>
      <c r="D29" s="74"/>
      <c r="E29" s="74"/>
      <c r="F29" s="74"/>
      <c r="G29" s="74"/>
      <c r="H29" s="74"/>
      <c r="I29" s="74"/>
      <c r="J29" s="18"/>
      <c r="L29" s="24"/>
      <c r="M29" s="34"/>
      <c r="N29" s="35"/>
    </row>
    <row r="30" spans="1:14" x14ac:dyDescent="0.2">
      <c r="A30" s="33"/>
      <c r="B30" s="6"/>
      <c r="C30" s="6" t="s">
        <v>21</v>
      </c>
      <c r="D30" s="6"/>
      <c r="E30" s="6"/>
      <c r="F30" s="6"/>
      <c r="G30" s="6"/>
      <c r="H30" s="6"/>
      <c r="I30" s="6"/>
      <c r="J30" s="18"/>
      <c r="L30" s="24"/>
      <c r="M30" s="34"/>
      <c r="N30" s="34"/>
    </row>
    <row r="31" spans="1:14" x14ac:dyDescent="0.2">
      <c r="A31" s="33"/>
      <c r="B31" s="6"/>
      <c r="C31" s="6" t="s">
        <v>22</v>
      </c>
      <c r="D31" s="6"/>
      <c r="E31" s="6"/>
      <c r="F31" s="6"/>
      <c r="G31" s="6"/>
      <c r="H31" s="6"/>
      <c r="I31" s="6"/>
      <c r="J31" s="18"/>
      <c r="L31" s="24"/>
      <c r="M31" s="34"/>
      <c r="N31" s="34"/>
    </row>
    <row r="32" spans="1:14" x14ac:dyDescent="0.2">
      <c r="A32" s="33"/>
      <c r="B32" s="6"/>
      <c r="C32" s="6"/>
      <c r="D32" s="6"/>
      <c r="E32" s="6"/>
      <c r="F32" s="6"/>
      <c r="G32" s="6"/>
      <c r="H32" s="6"/>
      <c r="I32" s="6"/>
      <c r="J32" s="18"/>
      <c r="L32" s="24"/>
      <c r="M32" s="34"/>
      <c r="N32" s="34"/>
    </row>
    <row r="33" spans="1:13" ht="78" customHeight="1" x14ac:dyDescent="0.2">
      <c r="A33" s="5"/>
      <c r="B33" s="6"/>
      <c r="C33" s="72" t="s">
        <v>4</v>
      </c>
      <c r="D33" s="72"/>
      <c r="E33" s="72"/>
      <c r="F33" s="72"/>
      <c r="G33" s="72"/>
      <c r="H33" s="72"/>
      <c r="I33" s="6"/>
      <c r="K33" s="24"/>
      <c r="L33" s="32"/>
      <c r="M33" s="34"/>
    </row>
    <row r="34" spans="1:13" ht="15.75" customHeight="1" x14ac:dyDescent="0.2">
      <c r="A34" s="5"/>
      <c r="B34" s="6"/>
      <c r="C34" s="6"/>
      <c r="D34" s="6"/>
      <c r="E34" s="6"/>
      <c r="F34" s="6"/>
      <c r="G34" s="6"/>
      <c r="H34" s="6"/>
      <c r="I34" s="6"/>
    </row>
    <row r="35" spans="1:13" ht="26.25" x14ac:dyDescent="0.4">
      <c r="C35" s="56"/>
      <c r="E35" s="36"/>
      <c r="G35" s="37"/>
    </row>
    <row r="36" spans="1:13" x14ac:dyDescent="0.2">
      <c r="E36" s="23"/>
      <c r="G36" s="23"/>
    </row>
    <row r="37" spans="1:13" x14ac:dyDescent="0.2">
      <c r="E37" s="23"/>
      <c r="F37" s="39"/>
      <c r="G37" s="23"/>
    </row>
    <row r="38" spans="1:13" x14ac:dyDescent="0.2">
      <c r="C38" s="79"/>
      <c r="E38" s="23"/>
      <c r="F38" s="40"/>
      <c r="G38" s="37"/>
    </row>
    <row r="39" spans="1:13" x14ac:dyDescent="0.2">
      <c r="E39" s="23"/>
      <c r="F39" s="41"/>
      <c r="G39" s="42"/>
    </row>
    <row r="40" spans="1:13" x14ac:dyDescent="0.2">
      <c r="E40" s="23"/>
      <c r="F40" s="41"/>
      <c r="G40" s="43"/>
    </row>
    <row r="41" spans="1:13" x14ac:dyDescent="0.2">
      <c r="E41" s="23"/>
      <c r="G41" s="43"/>
    </row>
    <row r="42" spans="1:13" x14ac:dyDescent="0.2">
      <c r="E42" s="36"/>
      <c r="G42" s="43"/>
      <c r="H42" s="23"/>
    </row>
    <row r="43" spans="1:13" x14ac:dyDescent="0.2">
      <c r="F43" s="44"/>
      <c r="G43" s="23"/>
    </row>
    <row r="45" spans="1:13" x14ac:dyDescent="0.2">
      <c r="G45" s="45"/>
    </row>
    <row r="46" spans="1:13" x14ac:dyDescent="0.2">
      <c r="G46" s="25"/>
    </row>
    <row r="47" spans="1:13" x14ac:dyDescent="0.2">
      <c r="G47" s="25"/>
    </row>
    <row r="51" spans="4:7" x14ac:dyDescent="0.2">
      <c r="D51" s="44"/>
      <c r="E51" s="44"/>
      <c r="F51" s="44"/>
      <c r="G51" s="45"/>
    </row>
    <row r="52" spans="4:7" x14ac:dyDescent="0.2">
      <c r="D52" s="44"/>
    </row>
    <row r="53" spans="4:7" x14ac:dyDescent="0.2">
      <c r="D53" s="44"/>
    </row>
  </sheetData>
  <protectedRanges>
    <protectedRange sqref="D8:D9 G4" name="Rango1"/>
  </protectedRanges>
  <mergeCells count="5">
    <mergeCell ref="C33:H33"/>
    <mergeCell ref="C4:D4"/>
    <mergeCell ref="B29:I29"/>
    <mergeCell ref="B2:C2"/>
    <mergeCell ref="E2:I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CALCULADORA</vt:lpstr>
      <vt:lpstr>CALCULADORA!Área_de_impresión</vt:lpstr>
      <vt:lpstr>CALCULADORA!VN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2018-11-13T16:52:43Z</cp:lastPrinted>
  <dcterms:created xsi:type="dcterms:W3CDTF">1996-11-27T10:00:04Z</dcterms:created>
  <dcterms:modified xsi:type="dcterms:W3CDTF">2019-05-17T20:56:23Z</dcterms:modified>
</cp:coreProperties>
</file>