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codeName="ThisWorkbook" defaultThemeVersion="124226"/>
  <bookViews>
    <workbookView xWindow="0" yWindow="0" windowWidth="19440" windowHeight="7650" tabRatio="845"/>
  </bookViews>
  <sheets>
    <sheet name="TASA VARIABLE" sheetId="20" r:id="rId1"/>
    <sheet name="Definitivo" sheetId="19" state="hidden" r:id="rId2"/>
    <sheet name="Feriados" sheetId="17" state="hidden" r:id="rId3"/>
  </sheets>
  <definedNames>
    <definedName name="_xlnm.Print_Area" localSheetId="1">Definitivo!$C$1:$I$53</definedName>
    <definedName name="_xlnm.Print_Area" localSheetId="0">'TASA VARIABLE'!$C$1:$N$29</definedName>
    <definedName name="Estr_Emision" localSheetId="0">'TASA VARIABLE'!#REF!</definedName>
    <definedName name="Estr_Emision">#REF!</definedName>
    <definedName name="Fecha_Emision" localSheetId="0">'TASA VARIABLE'!$E$16</definedName>
    <definedName name="Fecha_Emision">#REF!</definedName>
    <definedName name="Fecha_Emision_Def" localSheetId="1">Definitivo!$H$5</definedName>
    <definedName name="FechaPrimerPago" localSheetId="0">'TASA VARIABLE'!#REF!</definedName>
    <definedName name="FechaPrimerPago">#REF!</definedName>
    <definedName name="Feriados">Feriados!$B$15:$B$39</definedName>
    <definedName name="solver_adj" localSheetId="0" hidden="1">'TASA VARIABLE'!#REF!</definedName>
    <definedName name="solver_cvg" localSheetId="0" hidden="1">"""""""""""""""""""""""""""""""0.0001"""""""""""""""""""""""""""""""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"""""""""""""""""""""""""""""""0.075"""""""""""""""""""""""""""""""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'TASA VARIABLE'!$B$39</definedName>
    <definedName name="solver_pre" localSheetId="0" hidden="1">"""""""""""""""""""""""""""""""0.000001"""""""""""""""""""""""""""""""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25725"/>
  <fileRecoveryPr repairLoad="1"/>
</workbook>
</file>

<file path=xl/calcChain.xml><?xml version="1.0" encoding="utf-8"?>
<calcChain xmlns="http://schemas.openxmlformats.org/spreadsheetml/2006/main">
  <c r="E11" i="20"/>
  <c r="G10" l="1"/>
  <c r="G11" s="1"/>
  <c r="G12" s="1"/>
  <c r="G13" s="1"/>
  <c r="I10" l="1"/>
  <c r="E23"/>
  <c r="V9" s="1"/>
  <c r="H10"/>
  <c r="K10" s="1"/>
  <c r="Q10"/>
  <c r="S14"/>
  <c r="S15"/>
  <c r="S16"/>
  <c r="S17"/>
  <c r="S22"/>
  <c r="S23"/>
  <c r="S24"/>
  <c r="S25"/>
  <c r="S26"/>
  <c r="S27"/>
  <c r="P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R70"/>
  <c r="Q70"/>
  <c r="K70"/>
  <c r="J70"/>
  <c r="I70"/>
  <c r="H70"/>
  <c r="R69"/>
  <c r="Q69"/>
  <c r="K69"/>
  <c r="J69"/>
  <c r="I69"/>
  <c r="H69"/>
  <c r="R68"/>
  <c r="Q68"/>
  <c r="K68"/>
  <c r="J68"/>
  <c r="I68"/>
  <c r="H68"/>
  <c r="R67"/>
  <c r="Q67"/>
  <c r="K67"/>
  <c r="J67"/>
  <c r="I67"/>
  <c r="H67"/>
  <c r="R66"/>
  <c r="Q66"/>
  <c r="K66"/>
  <c r="J66"/>
  <c r="I66"/>
  <c r="H66"/>
  <c r="R65"/>
  <c r="Q65"/>
  <c r="K65"/>
  <c r="J65"/>
  <c r="I65"/>
  <c r="H65"/>
  <c r="R64"/>
  <c r="Q64"/>
  <c r="K64"/>
  <c r="J64"/>
  <c r="I64"/>
  <c r="H64"/>
  <c r="R63"/>
  <c r="Q63"/>
  <c r="K63"/>
  <c r="J63"/>
  <c r="I63"/>
  <c r="H63"/>
  <c r="R62"/>
  <c r="Q62"/>
  <c r="K62"/>
  <c r="J62"/>
  <c r="I62"/>
  <c r="H62"/>
  <c r="R61"/>
  <c r="Q61"/>
  <c r="K61"/>
  <c r="J61"/>
  <c r="I61"/>
  <c r="H61"/>
  <c r="R60"/>
  <c r="Q60"/>
  <c r="K60"/>
  <c r="J60"/>
  <c r="I60"/>
  <c r="H60"/>
  <c r="R59"/>
  <c r="Q59"/>
  <c r="K59"/>
  <c r="J59"/>
  <c r="I59"/>
  <c r="H59"/>
  <c r="R58"/>
  <c r="Q58"/>
  <c r="K58"/>
  <c r="J58"/>
  <c r="I58"/>
  <c r="H58"/>
  <c r="R57"/>
  <c r="Q57"/>
  <c r="K57"/>
  <c r="J57"/>
  <c r="I57"/>
  <c r="H57"/>
  <c r="R56"/>
  <c r="Q56"/>
  <c r="K56"/>
  <c r="J56"/>
  <c r="I56"/>
  <c r="H56"/>
  <c r="R55"/>
  <c r="Q55"/>
  <c r="K55"/>
  <c r="J55"/>
  <c r="I55"/>
  <c r="H55"/>
  <c r="R54"/>
  <c r="Q54"/>
  <c r="K54"/>
  <c r="J54"/>
  <c r="I54"/>
  <c r="H54"/>
  <c r="R53"/>
  <c r="Q53"/>
  <c r="K53"/>
  <c r="J53"/>
  <c r="I53"/>
  <c r="H53"/>
  <c r="R52"/>
  <c r="Q52"/>
  <c r="K52"/>
  <c r="J52"/>
  <c r="I52"/>
  <c r="H52"/>
  <c r="R51"/>
  <c r="Q51"/>
  <c r="K51"/>
  <c r="J51"/>
  <c r="I51"/>
  <c r="H51"/>
  <c r="R50"/>
  <c r="Q50"/>
  <c r="K50"/>
  <c r="J50"/>
  <c r="I50"/>
  <c r="H50"/>
  <c r="R49"/>
  <c r="Q49"/>
  <c r="K49"/>
  <c r="J49"/>
  <c r="I49"/>
  <c r="H49"/>
  <c r="R48"/>
  <c r="Q48"/>
  <c r="K48"/>
  <c r="J48"/>
  <c r="I48"/>
  <c r="H48"/>
  <c r="R47"/>
  <c r="Q47"/>
  <c r="K47"/>
  <c r="J47"/>
  <c r="I47"/>
  <c r="H47"/>
  <c r="R46"/>
  <c r="Q46"/>
  <c r="K46"/>
  <c r="J46"/>
  <c r="I46"/>
  <c r="H46"/>
  <c r="R45"/>
  <c r="Q45"/>
  <c r="K45"/>
  <c r="J45"/>
  <c r="I45"/>
  <c r="H45"/>
  <c r="R44"/>
  <c r="Q44"/>
  <c r="K44"/>
  <c r="J44"/>
  <c r="I44"/>
  <c r="H44"/>
  <c r="R43"/>
  <c r="Q43"/>
  <c r="K43"/>
  <c r="J43"/>
  <c r="I43"/>
  <c r="H43"/>
  <c r="R42"/>
  <c r="Q42"/>
  <c r="K42"/>
  <c r="J42"/>
  <c r="I42"/>
  <c r="H42"/>
  <c r="R41"/>
  <c r="Q41"/>
  <c r="K41"/>
  <c r="J41"/>
  <c r="I41"/>
  <c r="H41"/>
  <c r="R40"/>
  <c r="Q40"/>
  <c r="K40"/>
  <c r="J40"/>
  <c r="I40"/>
  <c r="H40"/>
  <c r="R39"/>
  <c r="Q39"/>
  <c r="K39"/>
  <c r="J39"/>
  <c r="I39"/>
  <c r="H39"/>
  <c r="R38"/>
  <c r="Q38"/>
  <c r="K38"/>
  <c r="J38"/>
  <c r="I38"/>
  <c r="H38"/>
  <c r="R37"/>
  <c r="Q37"/>
  <c r="K37"/>
  <c r="J37"/>
  <c r="I37"/>
  <c r="H37"/>
  <c r="R36"/>
  <c r="Q36"/>
  <c r="K36"/>
  <c r="J36"/>
  <c r="I36"/>
  <c r="H36"/>
  <c r="R35"/>
  <c r="Q35"/>
  <c r="K35"/>
  <c r="J35"/>
  <c r="I35"/>
  <c r="H35"/>
  <c r="R34"/>
  <c r="Q34"/>
  <c r="K34"/>
  <c r="J34"/>
  <c r="I34"/>
  <c r="H34"/>
  <c r="R33"/>
  <c r="Q33"/>
  <c r="K33"/>
  <c r="J33"/>
  <c r="I33"/>
  <c r="H33"/>
  <c r="R32"/>
  <c r="Q32"/>
  <c r="K32"/>
  <c r="J32"/>
  <c r="I32"/>
  <c r="H32"/>
  <c r="R31"/>
  <c r="Q31"/>
  <c r="K31"/>
  <c r="J31"/>
  <c r="I31"/>
  <c r="H31"/>
  <c r="R30"/>
  <c r="Q30"/>
  <c r="K30"/>
  <c r="J30"/>
  <c r="I30"/>
  <c r="H30"/>
  <c r="R29"/>
  <c r="Q29"/>
  <c r="K29"/>
  <c r="J29"/>
  <c r="I29"/>
  <c r="H29"/>
  <c r="O28"/>
  <c r="N28"/>
  <c r="G28"/>
  <c r="F28"/>
  <c r="E27"/>
  <c r="R27"/>
  <c r="Q27"/>
  <c r="K27"/>
  <c r="J27"/>
  <c r="I27"/>
  <c r="H27"/>
  <c r="R26"/>
  <c r="Q26"/>
  <c r="K26"/>
  <c r="J26"/>
  <c r="I26"/>
  <c r="H26"/>
  <c r="R25"/>
  <c r="Q25"/>
  <c r="K25"/>
  <c r="J25"/>
  <c r="I25"/>
  <c r="H25"/>
  <c r="R24"/>
  <c r="Q24"/>
  <c r="K24"/>
  <c r="J24"/>
  <c r="I24"/>
  <c r="H24"/>
  <c r="R23"/>
  <c r="Q23"/>
  <c r="K23"/>
  <c r="J23"/>
  <c r="I23"/>
  <c r="H23"/>
  <c r="R22"/>
  <c r="Q22"/>
  <c r="K22"/>
  <c r="J22"/>
  <c r="I22"/>
  <c r="H22"/>
  <c r="S21"/>
  <c r="S20"/>
  <c r="S19"/>
  <c r="S18"/>
  <c r="R17"/>
  <c r="Q17"/>
  <c r="K17"/>
  <c r="J17"/>
  <c r="I17"/>
  <c r="H17"/>
  <c r="R16"/>
  <c r="Q16"/>
  <c r="K16"/>
  <c r="J16"/>
  <c r="I16"/>
  <c r="H16"/>
  <c r="Q15"/>
  <c r="J15"/>
  <c r="R15" s="1"/>
  <c r="I15"/>
  <c r="H15"/>
  <c r="K15" s="1"/>
  <c r="R14"/>
  <c r="Q14"/>
  <c r="K14"/>
  <c r="J14"/>
  <c r="I14"/>
  <c r="H14"/>
  <c r="U10"/>
  <c r="U9"/>
  <c r="M8"/>
  <c r="D2" i="19"/>
  <c r="H9"/>
  <c r="E14"/>
  <c r="E12"/>
  <c r="E10"/>
  <c r="E9"/>
  <c r="E7"/>
  <c r="E6"/>
  <c r="E5"/>
  <c r="H10"/>
  <c r="H11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J43"/>
  <c r="J44" s="1"/>
  <c r="J45" s="1"/>
  <c r="J46" s="1"/>
  <c r="J47" s="1"/>
  <c r="J48" s="1"/>
  <c r="J49" s="1"/>
  <c r="J50" s="1"/>
  <c r="J51" s="1"/>
  <c r="J52" s="1"/>
  <c r="R42"/>
  <c r="R41"/>
  <c r="R40"/>
  <c r="R39"/>
  <c r="R38"/>
  <c r="R37"/>
  <c r="R36"/>
  <c r="R35"/>
  <c r="R34"/>
  <c r="R33"/>
  <c r="N33"/>
  <c r="N34" s="1"/>
  <c r="R32"/>
  <c r="R31"/>
  <c r="J31"/>
  <c r="R30"/>
  <c r="R29"/>
  <c r="R28"/>
  <c r="R27"/>
  <c r="R26"/>
  <c r="R25"/>
  <c r="R24"/>
  <c r="R23"/>
  <c r="R22"/>
  <c r="R21"/>
  <c r="R20"/>
  <c r="R19"/>
  <c r="R18"/>
  <c r="B18"/>
  <c r="H6"/>
  <c r="D18" s="1"/>
  <c r="F18" s="1"/>
  <c r="F16" s="1"/>
  <c r="A18"/>
  <c r="A19"/>
  <c r="A20"/>
  <c r="B19"/>
  <c r="G19" s="1"/>
  <c r="B20"/>
  <c r="G18"/>
  <c r="G16" s="1"/>
  <c r="D19"/>
  <c r="E8"/>
  <c r="F39" i="17"/>
  <c r="D39" s="1"/>
  <c r="E39"/>
  <c r="F38"/>
  <c r="D38" s="1"/>
  <c r="E38"/>
  <c r="F37"/>
  <c r="D37"/>
  <c r="E37"/>
  <c r="F36"/>
  <c r="D36" s="1"/>
  <c r="E36"/>
  <c r="F35"/>
  <c r="D35"/>
  <c r="E35"/>
  <c r="F34"/>
  <c r="D34" s="1"/>
  <c r="B34" s="1"/>
  <c r="E34"/>
  <c r="F33"/>
  <c r="D33"/>
  <c r="B33" s="1"/>
  <c r="E33"/>
  <c r="F32"/>
  <c r="D32" s="1"/>
  <c r="B32" s="1"/>
  <c r="E32"/>
  <c r="F31"/>
  <c r="D31"/>
  <c r="E31"/>
  <c r="F30"/>
  <c r="D30" s="1"/>
  <c r="E30"/>
  <c r="F29"/>
  <c r="D29"/>
  <c r="B29" s="1"/>
  <c r="E29"/>
  <c r="F28"/>
  <c r="D28" s="1"/>
  <c r="E28"/>
  <c r="F27"/>
  <c r="D27"/>
  <c r="E27"/>
  <c r="F26"/>
  <c r="D26" s="1"/>
  <c r="B26" s="1"/>
  <c r="E26"/>
  <c r="F25"/>
  <c r="D25"/>
  <c r="B25" s="1"/>
  <c r="E25"/>
  <c r="F24"/>
  <c r="D24" s="1"/>
  <c r="E24"/>
  <c r="F23"/>
  <c r="D23"/>
  <c r="B23" s="1"/>
  <c r="E23"/>
  <c r="F22"/>
  <c r="D22" s="1"/>
  <c r="E22"/>
  <c r="F21"/>
  <c r="D21"/>
  <c r="B21" s="1"/>
  <c r="E21"/>
  <c r="F20"/>
  <c r="D20" s="1"/>
  <c r="B20" s="1"/>
  <c r="E20"/>
  <c r="F19"/>
  <c r="D19"/>
  <c r="E19"/>
  <c r="F18"/>
  <c r="D18" s="1"/>
  <c r="E18"/>
  <c r="F17"/>
  <c r="D17"/>
  <c r="B17" s="1"/>
  <c r="E17"/>
  <c r="F16"/>
  <c r="D16" s="1"/>
  <c r="B16" s="1"/>
  <c r="E16"/>
  <c r="F15"/>
  <c r="D15"/>
  <c r="B15" s="1"/>
  <c r="E15"/>
  <c r="F14"/>
  <c r="D14" s="1"/>
  <c r="E14"/>
  <c r="F13"/>
  <c r="D13"/>
  <c r="B13" s="1"/>
  <c r="E13"/>
  <c r="F12"/>
  <c r="D12" s="1"/>
  <c r="E12"/>
  <c r="F11"/>
  <c r="D11"/>
  <c r="E11"/>
  <c r="F10"/>
  <c r="D10" s="1"/>
  <c r="E10"/>
  <c r="F9"/>
  <c r="D9"/>
  <c r="B9" s="1"/>
  <c r="E9"/>
  <c r="F8"/>
  <c r="D8" s="1"/>
  <c r="B8" s="1"/>
  <c r="E8"/>
  <c r="F7"/>
  <c r="D7"/>
  <c r="B7" s="1"/>
  <c r="E7"/>
  <c r="F6"/>
  <c r="D6" s="1"/>
  <c r="B6" s="1"/>
  <c r="E6"/>
  <c r="F5"/>
  <c r="D5"/>
  <c r="B5" s="1"/>
  <c r="E5"/>
  <c r="F4"/>
  <c r="D4" s="1"/>
  <c r="E4"/>
  <c r="F3"/>
  <c r="D3"/>
  <c r="E3"/>
  <c r="F2"/>
  <c r="D2" s="1"/>
  <c r="E2"/>
  <c r="B2" s="1"/>
  <c r="B37"/>
  <c r="B14"/>
  <c r="B22"/>
  <c r="B30"/>
  <c r="B38"/>
  <c r="B4"/>
  <c r="B12"/>
  <c r="B24"/>
  <c r="B3"/>
  <c r="B11"/>
  <c r="B19"/>
  <c r="B27"/>
  <c r="B31"/>
  <c r="B35"/>
  <c r="B39"/>
  <c r="T17" i="19"/>
  <c r="H14"/>
  <c r="B10" i="17" l="1"/>
  <c r="B18"/>
  <c r="B28"/>
  <c r="B36"/>
  <c r="J32" i="19"/>
  <c r="J33" s="1"/>
  <c r="J34" s="1"/>
  <c r="J35" s="1"/>
  <c r="J36" s="1"/>
  <c r="J37" s="1"/>
  <c r="J38" s="1"/>
  <c r="J39" s="1"/>
  <c r="J40" s="1"/>
  <c r="J41" s="1"/>
  <c r="Q18"/>
  <c r="Q78" s="1"/>
  <c r="P18"/>
  <c r="E18"/>
  <c r="H18"/>
  <c r="P19"/>
  <c r="E19"/>
  <c r="F19"/>
  <c r="H19"/>
  <c r="Q19"/>
  <c r="D20"/>
  <c r="G20"/>
  <c r="A21"/>
  <c r="B21"/>
  <c r="H11" i="20"/>
  <c r="K11" s="1"/>
  <c r="U11"/>
  <c r="I11"/>
  <c r="Q11"/>
  <c r="J10"/>
  <c r="J11" l="1"/>
  <c r="V11" s="1"/>
  <c r="Q20" i="19"/>
  <c r="F20"/>
  <c r="E20"/>
  <c r="H20"/>
  <c r="P20"/>
  <c r="A22"/>
  <c r="B22"/>
  <c r="J16"/>
  <c r="G21"/>
  <c r="D21"/>
  <c r="E16"/>
  <c r="N18"/>
  <c r="V10" i="20"/>
  <c r="Q12"/>
  <c r="U12"/>
  <c r="I12"/>
  <c r="H12"/>
  <c r="H8" s="1"/>
  <c r="K12" l="1"/>
  <c r="J12"/>
  <c r="V12" s="1"/>
  <c r="G22" i="19"/>
  <c r="D22"/>
  <c r="A23"/>
  <c r="B23"/>
  <c r="P21"/>
  <c r="E21"/>
  <c r="H21"/>
  <c r="F21"/>
  <c r="Q21"/>
  <c r="Q13" i="20"/>
  <c r="K13"/>
  <c r="U13"/>
  <c r="I13"/>
  <c r="I8" s="1"/>
  <c r="D23" i="19" l="1"/>
  <c r="G23"/>
  <c r="A24"/>
  <c r="B24"/>
  <c r="P22"/>
  <c r="Q22"/>
  <c r="H22"/>
  <c r="F22"/>
  <c r="E22"/>
  <c r="J13" i="20"/>
  <c r="A25" i="19" l="1"/>
  <c r="B25"/>
  <c r="V13" i="20"/>
  <c r="V8" s="1"/>
  <c r="E22" s="1"/>
  <c r="P23" i="19"/>
  <c r="E23"/>
  <c r="Q23"/>
  <c r="H23"/>
  <c r="F23"/>
  <c r="G24"/>
  <c r="D24"/>
  <c r="J8" i="20"/>
  <c r="E25" l="1"/>
  <c r="R10"/>
  <c r="S10" s="1"/>
  <c r="R11"/>
  <c r="S11" s="1"/>
  <c r="R12"/>
  <c r="S12" s="1"/>
  <c r="D25" i="19"/>
  <c r="G25"/>
  <c r="B26"/>
  <c r="A26"/>
  <c r="H24"/>
  <c r="E24"/>
  <c r="Q24"/>
  <c r="F24"/>
  <c r="P24"/>
  <c r="R13" i="20"/>
  <c r="S13" s="1"/>
  <c r="S8" l="1"/>
  <c r="R8"/>
  <c r="A27" i="19"/>
  <c r="B27"/>
  <c r="G26"/>
  <c r="D26"/>
  <c r="Q25"/>
  <c r="F25"/>
  <c r="E25"/>
  <c r="H25"/>
  <c r="P25"/>
  <c r="E24" i="20" l="1"/>
  <c r="H26" i="19"/>
  <c r="F26"/>
  <c r="P26"/>
  <c r="Q26"/>
  <c r="E26"/>
  <c r="G27"/>
  <c r="D27"/>
  <c r="B28"/>
  <c r="A28"/>
  <c r="A29" l="1"/>
  <c r="B29"/>
  <c r="H27"/>
  <c r="Q27"/>
  <c r="E27"/>
  <c r="F27"/>
  <c r="P27"/>
  <c r="D28"/>
  <c r="G28"/>
  <c r="D29" l="1"/>
  <c r="G29"/>
  <c r="B30"/>
  <c r="A30"/>
  <c r="E28"/>
  <c r="Q28"/>
  <c r="F28"/>
  <c r="P28"/>
  <c r="H28"/>
  <c r="A31" l="1"/>
  <c r="B31"/>
  <c r="G30"/>
  <c r="D30"/>
  <c r="F29"/>
  <c r="E29"/>
  <c r="Q29"/>
  <c r="P29"/>
  <c r="H29"/>
  <c r="P30" l="1"/>
  <c r="F30"/>
  <c r="H30"/>
  <c r="E30"/>
  <c r="Q30"/>
  <c r="D31"/>
  <c r="G31"/>
  <c r="A32"/>
  <c r="B32"/>
  <c r="A33" l="1"/>
  <c r="B33"/>
  <c r="H31"/>
  <c r="F31"/>
  <c r="P31"/>
  <c r="Q31"/>
  <c r="E31"/>
  <c r="D32"/>
  <c r="G32"/>
  <c r="P32" l="1"/>
  <c r="F32"/>
  <c r="H32"/>
  <c r="E32"/>
  <c r="Q32"/>
  <c r="D33"/>
  <c r="G33"/>
  <c r="B34"/>
  <c r="A34"/>
  <c r="D34" l="1"/>
  <c r="G34"/>
  <c r="P33"/>
  <c r="E33"/>
  <c r="F33"/>
  <c r="Q33"/>
  <c r="H33"/>
  <c r="A35"/>
  <c r="B35"/>
  <c r="B36" l="1"/>
  <c r="A36"/>
  <c r="D35"/>
  <c r="G35"/>
  <c r="Q34"/>
  <c r="H34"/>
  <c r="P34"/>
  <c r="E34"/>
  <c r="F34"/>
  <c r="F35" l="1"/>
  <c r="Q35"/>
  <c r="E35"/>
  <c r="P35"/>
  <c r="H35"/>
  <c r="A37"/>
  <c r="B37"/>
  <c r="D36"/>
  <c r="G36"/>
  <c r="D37" l="1"/>
  <c r="G37"/>
  <c r="Q36"/>
  <c r="E36"/>
  <c r="P36"/>
  <c r="F36"/>
  <c r="H36"/>
  <c r="A38"/>
  <c r="B38"/>
  <c r="A39" l="1"/>
  <c r="B39"/>
  <c r="D38"/>
  <c r="G38"/>
  <c r="F37"/>
  <c r="E37"/>
  <c r="P37"/>
  <c r="Q37"/>
  <c r="H37"/>
  <c r="P38" l="1"/>
  <c r="H38"/>
  <c r="F38"/>
  <c r="E38"/>
  <c r="Q38"/>
  <c r="D39"/>
  <c r="G39"/>
  <c r="B40"/>
  <c r="A40"/>
  <c r="E39" l="1"/>
  <c r="F39"/>
  <c r="Q39"/>
  <c r="H39"/>
  <c r="P39"/>
  <c r="D40"/>
  <c r="G40"/>
  <c r="A41"/>
  <c r="B41"/>
  <c r="E40" l="1"/>
  <c r="H40"/>
  <c r="P40"/>
  <c r="F40"/>
  <c r="Q40"/>
  <c r="A42"/>
  <c r="B42"/>
  <c r="D41"/>
  <c r="G41"/>
  <c r="D42" l="1"/>
  <c r="G42"/>
  <c r="A43"/>
  <c r="B43"/>
  <c r="F41"/>
  <c r="P41"/>
  <c r="Q41"/>
  <c r="E41"/>
  <c r="H41"/>
  <c r="D43" l="1"/>
  <c r="G43"/>
  <c r="A44"/>
  <c r="B44"/>
  <c r="Q42"/>
  <c r="H42"/>
  <c r="P42"/>
  <c r="E42"/>
  <c r="F42"/>
  <c r="A45" l="1"/>
  <c r="B45"/>
  <c r="G44"/>
  <c r="D44"/>
  <c r="F43"/>
  <c r="P43"/>
  <c r="Q43"/>
  <c r="E43"/>
  <c r="H43"/>
  <c r="F44" l="1"/>
  <c r="P44"/>
  <c r="H44"/>
  <c r="Q44"/>
  <c r="E44"/>
  <c r="G45"/>
  <c r="D45"/>
  <c r="A46"/>
  <c r="B46"/>
  <c r="A47" l="1"/>
  <c r="B47"/>
  <c r="E45"/>
  <c r="F45"/>
  <c r="Q45"/>
  <c r="H45"/>
  <c r="P45"/>
  <c r="G46"/>
  <c r="D46"/>
  <c r="D47" l="1"/>
  <c r="G47"/>
  <c r="H46"/>
  <c r="P46"/>
  <c r="Q46"/>
  <c r="F46"/>
  <c r="E46"/>
  <c r="A48"/>
  <c r="B48"/>
  <c r="A49" l="1"/>
  <c r="B49"/>
  <c r="D48"/>
  <c r="G48"/>
  <c r="E47"/>
  <c r="F47"/>
  <c r="H47"/>
  <c r="P47"/>
  <c r="Q47"/>
  <c r="F48" l="1"/>
  <c r="E48"/>
  <c r="P48"/>
  <c r="H48"/>
  <c r="Q48"/>
  <c r="D49"/>
  <c r="G49"/>
  <c r="A50"/>
  <c r="B50"/>
  <c r="Q49" l="1"/>
  <c r="E49"/>
  <c r="H49"/>
  <c r="P49"/>
  <c r="F49"/>
  <c r="A51"/>
  <c r="B51"/>
  <c r="G50"/>
  <c r="D50"/>
  <c r="B52" l="1"/>
  <c r="A52"/>
  <c r="G51"/>
  <c r="D51"/>
  <c r="P50"/>
  <c r="H50"/>
  <c r="Q50"/>
  <c r="E50"/>
  <c r="F50"/>
  <c r="P51" l="1"/>
  <c r="H51"/>
  <c r="F51"/>
  <c r="Q51"/>
  <c r="E51"/>
  <c r="A53"/>
  <c r="B53"/>
  <c r="D52"/>
  <c r="G52"/>
  <c r="A54" l="1"/>
  <c r="B54"/>
  <c r="E52"/>
  <c r="Q52"/>
  <c r="P52"/>
  <c r="H52"/>
  <c r="F52"/>
  <c r="G53"/>
  <c r="D53"/>
  <c r="G54" l="1"/>
  <c r="D54"/>
  <c r="P53"/>
  <c r="Q53"/>
  <c r="E53"/>
  <c r="H53"/>
  <c r="F53"/>
  <c r="B55"/>
  <c r="A55"/>
  <c r="P54" l="1"/>
  <c r="H54"/>
  <c r="F54"/>
  <c r="Q54"/>
  <c r="E54"/>
  <c r="G55"/>
  <c r="D55"/>
  <c r="A56"/>
  <c r="B56"/>
  <c r="B57" l="1"/>
  <c r="A57"/>
  <c r="F55"/>
  <c r="H55"/>
  <c r="E55"/>
  <c r="Q55"/>
  <c r="P55"/>
  <c r="D56"/>
  <c r="G56"/>
  <c r="Q56" l="1"/>
  <c r="E56"/>
  <c r="P56"/>
  <c r="F56"/>
  <c r="H56"/>
  <c r="A58"/>
  <c r="B58"/>
  <c r="D57"/>
  <c r="G57"/>
  <c r="D58" l="1"/>
  <c r="G58"/>
  <c r="B59"/>
  <c r="A59"/>
  <c r="F57"/>
  <c r="H57"/>
  <c r="E57"/>
  <c r="P57"/>
  <c r="Q57"/>
  <c r="G59" l="1"/>
  <c r="D59"/>
  <c r="A60"/>
  <c r="B60"/>
  <c r="Q58"/>
  <c r="E58"/>
  <c r="P58"/>
  <c r="H58"/>
  <c r="F58"/>
  <c r="B61" l="1"/>
  <c r="A61"/>
  <c r="P59"/>
  <c r="F59"/>
  <c r="H59"/>
  <c r="Q59"/>
  <c r="E59"/>
  <c r="G60"/>
  <c r="D60"/>
  <c r="A62" l="1"/>
  <c r="B62"/>
  <c r="Q60"/>
  <c r="E60"/>
  <c r="P60"/>
  <c r="H60"/>
  <c r="F60"/>
  <c r="G61"/>
  <c r="D61"/>
  <c r="D62" l="1"/>
  <c r="G62"/>
  <c r="P61"/>
  <c r="F61"/>
  <c r="H61"/>
  <c r="E61"/>
  <c r="Q61"/>
  <c r="B63"/>
  <c r="A63"/>
  <c r="D63" l="1"/>
  <c r="G63"/>
  <c r="A64"/>
  <c r="B64"/>
  <c r="F62"/>
  <c r="Q62"/>
  <c r="E62"/>
  <c r="H62"/>
  <c r="P62"/>
  <c r="G64" l="1"/>
  <c r="D64"/>
  <c r="B65"/>
  <c r="A65"/>
  <c r="F63"/>
  <c r="H63"/>
  <c r="E63"/>
  <c r="P63"/>
  <c r="Q63"/>
  <c r="D65" l="1"/>
  <c r="G65"/>
  <c r="F64"/>
  <c r="Q64"/>
  <c r="E64"/>
  <c r="P64"/>
  <c r="H64"/>
  <c r="B66"/>
  <c r="A66"/>
  <c r="D66" l="1"/>
  <c r="G66"/>
  <c r="B67"/>
  <c r="A67"/>
  <c r="Q65"/>
  <c r="P65"/>
  <c r="F65"/>
  <c r="E65"/>
  <c r="H65"/>
  <c r="D67" l="1"/>
  <c r="G67"/>
  <c r="B68"/>
  <c r="A68"/>
  <c r="P66"/>
  <c r="H66"/>
  <c r="Q66"/>
  <c r="F66"/>
  <c r="E66"/>
  <c r="G68" l="1"/>
  <c r="D68"/>
  <c r="A69"/>
  <c r="B69"/>
  <c r="F67"/>
  <c r="H67"/>
  <c r="E67"/>
  <c r="Q67"/>
  <c r="P67"/>
  <c r="A70" l="1"/>
  <c r="B70"/>
  <c r="F68"/>
  <c r="Q68"/>
  <c r="E68"/>
  <c r="H68"/>
  <c r="P68"/>
  <c r="D69"/>
  <c r="G69"/>
  <c r="D70" l="1"/>
  <c r="G70"/>
  <c r="Q69"/>
  <c r="P69"/>
  <c r="E69"/>
  <c r="H69"/>
  <c r="F69"/>
  <c r="B71"/>
  <c r="A71"/>
  <c r="G71" l="1"/>
  <c r="D71"/>
  <c r="B72"/>
  <c r="A72"/>
  <c r="F70"/>
  <c r="Q70"/>
  <c r="E70"/>
  <c r="P70"/>
  <c r="H70"/>
  <c r="B73" l="1"/>
  <c r="A73"/>
  <c r="F71"/>
  <c r="H71"/>
  <c r="E71"/>
  <c r="P71"/>
  <c r="Q71"/>
  <c r="G72"/>
  <c r="D72"/>
  <c r="B74" l="1"/>
  <c r="A74"/>
  <c r="F72"/>
  <c r="Q72"/>
  <c r="E72"/>
  <c r="P72"/>
  <c r="H72"/>
  <c r="D73"/>
  <c r="G73"/>
  <c r="F73" l="1"/>
  <c r="H73"/>
  <c r="E73"/>
  <c r="P73"/>
  <c r="Q73"/>
  <c r="B75"/>
  <c r="A75"/>
  <c r="G74"/>
  <c r="D74"/>
  <c r="D75" l="1"/>
  <c r="G75"/>
  <c r="B76"/>
  <c r="A76"/>
  <c r="F74"/>
  <c r="Q74"/>
  <c r="E74"/>
  <c r="H74"/>
  <c r="P74"/>
  <c r="A77" l="1"/>
  <c r="B77"/>
  <c r="G76"/>
  <c r="D76"/>
  <c r="Q75"/>
  <c r="P75"/>
  <c r="E75"/>
  <c r="H75"/>
  <c r="F75"/>
  <c r="P76" l="1"/>
  <c r="H76"/>
  <c r="F76"/>
  <c r="Q76"/>
  <c r="E76"/>
  <c r="D77"/>
  <c r="G77"/>
  <c r="T26"/>
  <c r="U26" s="1"/>
  <c r="T22"/>
  <c r="U22" s="1"/>
  <c r="T28"/>
  <c r="U28" s="1"/>
  <c r="T62"/>
  <c r="U62" s="1"/>
  <c r="T45"/>
  <c r="U45" s="1"/>
  <c r="T33"/>
  <c r="U33" s="1"/>
  <c r="T64"/>
  <c r="U64" s="1"/>
  <c r="T63"/>
  <c r="U63" s="1"/>
  <c r="T49"/>
  <c r="U49" s="1"/>
  <c r="T74"/>
  <c r="U74" s="1"/>
  <c r="T68"/>
  <c r="U68" s="1"/>
  <c r="T65"/>
  <c r="U65" s="1"/>
  <c r="T21"/>
  <c r="U21" s="1"/>
  <c r="T47"/>
  <c r="U47" s="1"/>
  <c r="T24"/>
  <c r="U24" s="1"/>
  <c r="T34"/>
  <c r="U34" s="1"/>
  <c r="T59"/>
  <c r="U59" s="1"/>
  <c r="T56"/>
  <c r="U56" s="1"/>
  <c r="T58"/>
  <c r="U58" s="1"/>
  <c r="T77"/>
  <c r="U77" s="1"/>
  <c r="T35"/>
  <c r="U35" s="1"/>
  <c r="T54"/>
  <c r="U54" s="1"/>
  <c r="T73"/>
  <c r="U73" s="1"/>
  <c r="T42"/>
  <c r="U42" s="1"/>
  <c r="T46"/>
  <c r="U46" s="1"/>
  <c r="T52"/>
  <c r="U52" s="1"/>
  <c r="T40"/>
  <c r="U40" s="1"/>
  <c r="T72"/>
  <c r="U72" s="1"/>
  <c r="T57"/>
  <c r="U57" s="1"/>
  <c r="T67"/>
  <c r="U67" s="1"/>
  <c r="T39"/>
  <c r="U39" s="1"/>
  <c r="T55"/>
  <c r="U55" s="1"/>
  <c r="T31"/>
  <c r="U31" s="1"/>
  <c r="T50"/>
  <c r="U50" s="1"/>
  <c r="T48"/>
  <c r="U48" s="1"/>
  <c r="T69"/>
  <c r="U69" s="1"/>
  <c r="T23"/>
  <c r="U23" s="1"/>
  <c r="T61"/>
  <c r="U61" s="1"/>
  <c r="T18"/>
  <c r="T20"/>
  <c r="U20" s="1"/>
  <c r="T76"/>
  <c r="U76" s="1"/>
  <c r="T29"/>
  <c r="U29" s="1"/>
  <c r="T36"/>
  <c r="U36" s="1"/>
  <c r="T53"/>
  <c r="U53" s="1"/>
  <c r="T37"/>
  <c r="U37" s="1"/>
  <c r="T38"/>
  <c r="U38" s="1"/>
  <c r="T75"/>
  <c r="U75" s="1"/>
  <c r="T27"/>
  <c r="U27" s="1"/>
  <c r="T32"/>
  <c r="U32" s="1"/>
  <c r="T51"/>
  <c r="U51" s="1"/>
  <c r="T71"/>
  <c r="U71" s="1"/>
  <c r="T70"/>
  <c r="U70" s="1"/>
  <c r="T44"/>
  <c r="U44" s="1"/>
  <c r="T43"/>
  <c r="U43" s="1"/>
  <c r="T66"/>
  <c r="U66" s="1"/>
  <c r="T41"/>
  <c r="U41" s="1"/>
  <c r="T25"/>
  <c r="U25" s="1"/>
  <c r="T30"/>
  <c r="U30" s="1"/>
  <c r="T19"/>
  <c r="U19" s="1"/>
  <c r="T60"/>
  <c r="U60" s="1"/>
  <c r="U18" l="1"/>
  <c r="U16" s="1"/>
  <c r="U15"/>
  <c r="Q77"/>
  <c r="F77"/>
  <c r="P77"/>
  <c r="H77"/>
  <c r="E77"/>
  <c r="P10" l="1"/>
  <c r="P11"/>
  <c r="P13"/>
  <c r="P12"/>
  <c r="P9"/>
</calcChain>
</file>

<file path=xl/sharedStrings.xml><?xml version="1.0" encoding="utf-8"?>
<sst xmlns="http://schemas.openxmlformats.org/spreadsheetml/2006/main" count="219" uniqueCount="143">
  <si>
    <t>Capital</t>
  </si>
  <si>
    <t>Plazo (Meses)</t>
  </si>
  <si>
    <t>Interes</t>
  </si>
  <si>
    <t>Total Cuota</t>
  </si>
  <si>
    <t>Valor de Emisión</t>
  </si>
  <si>
    <t>Tasa Max</t>
  </si>
  <si>
    <t>Tasa Min</t>
  </si>
  <si>
    <t>Spread</t>
  </si>
  <si>
    <t>Totales</t>
  </si>
  <si>
    <t>Máxima</t>
  </si>
  <si>
    <t>Mínima</t>
  </si>
  <si>
    <t>Valuación</t>
  </si>
  <si>
    <t>Período de Gracia</t>
  </si>
  <si>
    <t>Saldo de Capital</t>
  </si>
  <si>
    <t>Fecha de Emisión</t>
  </si>
  <si>
    <t>Fecha de Pago</t>
  </si>
  <si>
    <t>Pagos</t>
  </si>
  <si>
    <t>Mensual</t>
  </si>
  <si>
    <t>Bimestral</t>
  </si>
  <si>
    <t>Trimestral</t>
  </si>
  <si>
    <t>% Amortización</t>
  </si>
  <si>
    <t>Amortización</t>
  </si>
  <si>
    <t>Uniforme</t>
  </si>
  <si>
    <t>Personalizada</t>
  </si>
  <si>
    <t>FLUJO TEÓRICO DE PAGO</t>
  </si>
  <si>
    <t>Cupón</t>
  </si>
  <si>
    <t>Tasa Cupón</t>
  </si>
  <si>
    <t>Cuatrimestral</t>
  </si>
  <si>
    <t>Semestral</t>
  </si>
  <si>
    <t>AVAL</t>
  </si>
  <si>
    <t>Fee</t>
  </si>
  <si>
    <t>CFT</t>
  </si>
  <si>
    <t>Badlar + Margen</t>
  </si>
  <si>
    <t>Año</t>
  </si>
  <si>
    <t>Mes</t>
  </si>
  <si>
    <t>A Licitar</t>
  </si>
  <si>
    <t>Total Cuota más CPD pago comisiones SGR</t>
  </si>
  <si>
    <t>Feriados</t>
  </si>
  <si>
    <t>año</t>
  </si>
  <si>
    <t>mes</t>
  </si>
  <si>
    <t>día</t>
  </si>
  <si>
    <t>Fecha</t>
  </si>
  <si>
    <t>Día</t>
  </si>
  <si>
    <t>Días feriados</t>
  </si>
  <si>
    <t>Fuente: https://publicholidays.com.ar/es/2018-dates/</t>
  </si>
  <si>
    <t>enero</t>
  </si>
  <si>
    <t>1 enero</t>
  </si>
  <si>
    <t>lunes</t>
  </si>
  <si>
    <t>Año Nuevo</t>
  </si>
  <si>
    <t>febrero</t>
  </si>
  <si>
    <t>12 febrero</t>
  </si>
  <si>
    <t>Carnaval</t>
  </si>
  <si>
    <t>marzo</t>
  </si>
  <si>
    <t>13 febrero</t>
  </si>
  <si>
    <t>martes</t>
  </si>
  <si>
    <t>abril</t>
  </si>
  <si>
    <t>24 marzo</t>
  </si>
  <si>
    <t>sábado</t>
  </si>
  <si>
    <t>Día Nacional de la Memoria por la Verdad y la Justicia</t>
  </si>
  <si>
    <t>mayo</t>
  </si>
  <si>
    <t>30 marzo</t>
  </si>
  <si>
    <t>viernes</t>
  </si>
  <si>
    <t>Viernes Santo</t>
  </si>
  <si>
    <t>junio</t>
  </si>
  <si>
    <t>2 abril</t>
  </si>
  <si>
    <t>Día del Veterano y de los Caídos en la Guerra de Malvinas</t>
  </si>
  <si>
    <t>julio</t>
  </si>
  <si>
    <t>30 abril</t>
  </si>
  <si>
    <t>Día no laboral con fines turísticos</t>
  </si>
  <si>
    <t>agosto</t>
  </si>
  <si>
    <t>1 mayo</t>
  </si>
  <si>
    <t>Día del Trabajador</t>
  </si>
  <si>
    <t>septiembre</t>
  </si>
  <si>
    <t>25 mayo</t>
  </si>
  <si>
    <t>Día de la Revolución de Mayo</t>
  </si>
  <si>
    <t>octubre</t>
  </si>
  <si>
    <t>17 junio</t>
  </si>
  <si>
    <t>domingo</t>
  </si>
  <si>
    <t>Día Paso a la Inmortalidad del General Martín Miguel de Güemes</t>
  </si>
  <si>
    <t>noviembre</t>
  </si>
  <si>
    <t>20 junio</t>
  </si>
  <si>
    <t>miércoles</t>
  </si>
  <si>
    <t>Día Paso a la Inmortalidad del General Manuel Belgrano</t>
  </si>
  <si>
    <t>diciembre</t>
  </si>
  <si>
    <t>9 julio</t>
  </si>
  <si>
    <t>Día de la Independencia</t>
  </si>
  <si>
    <t>20 agosto</t>
  </si>
  <si>
    <t>Paso a la Inmortalidad del General José de San Martín</t>
  </si>
  <si>
    <t>15 octubre</t>
  </si>
  <si>
    <t>Día del Respeto a la Diversidad Cultural</t>
  </si>
  <si>
    <t>19 noviembre</t>
  </si>
  <si>
    <t>Día de la Soberanía Nacional</t>
  </si>
  <si>
    <t>8 diciembre</t>
  </si>
  <si>
    <t>Inmaculada Concepción de María</t>
  </si>
  <si>
    <t>24 diciembre</t>
  </si>
  <si>
    <t>25 diciembre</t>
  </si>
  <si>
    <t>Navidad</t>
  </si>
  <si>
    <t>31 diciembre</t>
  </si>
  <si>
    <t>Día no laboral con fines turísticos.</t>
  </si>
  <si>
    <t>4 marzo</t>
  </si>
  <si>
    <t>5 marzo</t>
  </si>
  <si>
    <t>19 abril</t>
  </si>
  <si>
    <t>jueves</t>
  </si>
  <si>
    <t>8 julio</t>
  </si>
  <si>
    <t>17 agosto</t>
  </si>
  <si>
    <t>19 agosto</t>
  </si>
  <si>
    <t>12 octubre</t>
  </si>
  <si>
    <t>14 octubre</t>
  </si>
  <si>
    <t>18 noviembre</t>
  </si>
  <si>
    <t>Badlar Año 1</t>
  </si>
  <si>
    <t>Badlar Año 2</t>
  </si>
  <si>
    <t>Badlar Año 3</t>
  </si>
  <si>
    <t>la fecha de emisión tiene que ser un día habil</t>
  </si>
  <si>
    <t>CHECKS</t>
  </si>
  <si>
    <t>Tasa Badlar</t>
  </si>
  <si>
    <t>Año 1</t>
  </si>
  <si>
    <t>Año 4</t>
  </si>
  <si>
    <t>Año 5</t>
  </si>
  <si>
    <t>Año 2</t>
  </si>
  <si>
    <t>Año 3</t>
  </si>
  <si>
    <t>Pago de Servicio Nro.</t>
  </si>
  <si>
    <t>Fecha del Primer Pago</t>
  </si>
  <si>
    <t>ERROR! El día de la fecha del primer pago en esta calculadora tiene que ser menor a 29</t>
  </si>
  <si>
    <t>Dias</t>
  </si>
  <si>
    <t>VA</t>
  </si>
  <si>
    <t>VA x Días</t>
  </si>
  <si>
    <t>Duration</t>
  </si>
  <si>
    <t>Precio</t>
  </si>
  <si>
    <t>DATOS</t>
  </si>
  <si>
    <t>VARIABLES</t>
  </si>
  <si>
    <t>CALCULADO</t>
  </si>
  <si>
    <t>Moneda</t>
  </si>
  <si>
    <t>Pesos</t>
  </si>
  <si>
    <t>Pagos Amortizacion</t>
  </si>
  <si>
    <t>TIR</t>
  </si>
  <si>
    <t>VN invertido</t>
  </si>
  <si>
    <t>VERIFICACION</t>
  </si>
  <si>
    <t>Bullet</t>
  </si>
  <si>
    <t>TNA</t>
  </si>
  <si>
    <t xml:space="preserve">Badlar </t>
  </si>
  <si>
    <t>Desembolso</t>
  </si>
  <si>
    <t>Letras de Cordoba Serie 32</t>
  </si>
  <si>
    <t>Margen a licitar</t>
  </si>
</sst>
</file>

<file path=xl/styles.xml><?xml version="1.0" encoding="utf-8"?>
<styleSheet xmlns="http://schemas.openxmlformats.org/spreadsheetml/2006/main">
  <numFmts count="14">
    <numFmt numFmtId="164" formatCode="&quot;$&quot;\ #,##0;&quot;$&quot;\ \-#,##0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(&quot;$&quot;* #,##0.00_);_(&quot;$&quot;* \(#,##0.00\);_(&quot;$&quot;* &quot;-&quot;??_);_(@_)"/>
    <numFmt numFmtId="168" formatCode="_ &quot;$&quot;\ * #,##0_ ;_ &quot;$&quot;\ * \-#,##0_ ;_ &quot;$&quot;\ * &quot;-&quot;??_ ;_ @_ "/>
    <numFmt numFmtId="169" formatCode="#,##0_ ;\-#,##0\ "/>
    <numFmt numFmtId="170" formatCode="0.0%"/>
    <numFmt numFmtId="171" formatCode="_ * #,##0_ ;_ * \-#,##0_ ;_ * &quot;-&quot;??_ ;_ @_ "/>
    <numFmt numFmtId="172" formatCode="_(&quot;$&quot;* #,##0_);_(&quot;$&quot;* \(#,##0\);_(&quot;$&quot;* &quot;-&quot;??_);_(@_)"/>
    <numFmt numFmtId="173" formatCode="&quot;$&quot;#,##0.00"/>
    <numFmt numFmtId="174" formatCode="#,##0.00_ ;\-#,##0.00\ "/>
    <numFmt numFmtId="175" formatCode="0.0000%"/>
    <numFmt numFmtId="176" formatCode="&quot;$&quot;#,##0"/>
    <numFmt numFmtId="177" formatCode="0.00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333333"/>
      <name val="Open Sans"/>
      <family val="2"/>
    </font>
    <font>
      <sz val="10"/>
      <color rgb="FF333333"/>
      <name val="Open Sans"/>
      <family val="2"/>
    </font>
    <font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 tint="0.34998626667073579"/>
      <name val="Garamond"/>
      <family val="1"/>
    </font>
    <font>
      <sz val="12"/>
      <color theme="0"/>
      <name val="Calibri"/>
      <family val="2"/>
      <scheme val="minor"/>
    </font>
    <font>
      <sz val="18"/>
      <name val="MetaPlusBold-Caps"/>
    </font>
    <font>
      <sz val="14"/>
      <color theme="1"/>
      <name val="MetaPlusMedium-Caps"/>
    </font>
    <font>
      <sz val="11"/>
      <color theme="0"/>
      <name val="MetaPlusBold-Caps"/>
    </font>
    <font>
      <b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D99"/>
        <bgColor indexed="64"/>
      </patternFill>
    </fill>
    <fill>
      <patternFill patternType="solid">
        <fgColor rgb="FF3E5A62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/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/>
      <diagonal/>
    </border>
    <border>
      <left style="thin">
        <color theme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Protection="1"/>
    <xf numFmtId="0" fontId="6" fillId="0" borderId="0" xfId="0" applyFont="1" applyAlignment="1" applyProtection="1">
      <alignment horizontal="center"/>
    </xf>
    <xf numFmtId="168" fontId="6" fillId="0" borderId="0" xfId="2" applyNumberFormat="1" applyFont="1" applyProtection="1"/>
    <xf numFmtId="0" fontId="7" fillId="0" borderId="0" xfId="0" applyFont="1" applyProtection="1"/>
    <xf numFmtId="0" fontId="2" fillId="2" borderId="0" xfId="0" applyFont="1" applyFill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168" fontId="4" fillId="0" borderId="0" xfId="0" applyNumberFormat="1" applyFont="1" applyBorder="1" applyProtection="1"/>
    <xf numFmtId="169" fontId="5" fillId="0" borderId="0" xfId="0" applyNumberFormat="1" applyFont="1" applyAlignment="1" applyProtection="1">
      <alignment horizontal="center"/>
    </xf>
    <xf numFmtId="0" fontId="2" fillId="2" borderId="0" xfId="0" applyFont="1" applyFill="1" applyProtection="1"/>
    <xf numFmtId="9" fontId="0" fillId="0" borderId="0" xfId="3" applyFont="1" applyProtection="1"/>
    <xf numFmtId="9" fontId="8" fillId="0" borderId="0" xfId="3" applyFont="1" applyBorder="1" applyAlignment="1" applyProtection="1">
      <alignment horizontal="center"/>
    </xf>
    <xf numFmtId="9" fontId="0" fillId="0" borderId="0" xfId="3" applyFont="1" applyBorder="1" applyProtection="1"/>
    <xf numFmtId="0" fontId="9" fillId="0" borderId="0" xfId="0" applyFont="1" applyProtection="1"/>
    <xf numFmtId="0" fontId="0" fillId="0" borderId="0" xfId="0" applyBorder="1" applyProtection="1"/>
    <xf numFmtId="0" fontId="2" fillId="2" borderId="1" xfId="0" applyFont="1" applyFill="1" applyBorder="1" applyAlignment="1" applyProtection="1">
      <alignment horizontal="center"/>
    </xf>
    <xf numFmtId="164" fontId="8" fillId="3" borderId="2" xfId="2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  <protection locked="0"/>
    </xf>
    <xf numFmtId="9" fontId="8" fillId="3" borderId="4" xfId="0" applyNumberFormat="1" applyFont="1" applyFill="1" applyBorder="1" applyAlignment="1" applyProtection="1">
      <alignment horizontal="center"/>
      <protection locked="0"/>
    </xf>
    <xf numFmtId="169" fontId="8" fillId="3" borderId="4" xfId="1" applyNumberFormat="1" applyFont="1" applyFill="1" applyBorder="1" applyAlignment="1" applyProtection="1">
      <alignment horizontal="center"/>
      <protection locked="0"/>
    </xf>
    <xf numFmtId="169" fontId="8" fillId="3" borderId="6" xfId="1" applyNumberFormat="1" applyFont="1" applyFill="1" applyBorder="1" applyAlignment="1" applyProtection="1">
      <alignment horizontal="center"/>
      <protection locked="0"/>
    </xf>
    <xf numFmtId="9" fontId="8" fillId="3" borderId="4" xfId="3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</xf>
    <xf numFmtId="168" fontId="4" fillId="0" borderId="1" xfId="0" applyNumberFormat="1" applyFont="1" applyBorder="1" applyProtection="1"/>
    <xf numFmtId="168" fontId="4" fillId="0" borderId="2" xfId="0" applyNumberFormat="1" applyFont="1" applyBorder="1" applyProtection="1"/>
    <xf numFmtId="168" fontId="4" fillId="0" borderId="7" xfId="0" applyNumberFormat="1" applyFont="1" applyBorder="1" applyProtection="1"/>
    <xf numFmtId="0" fontId="2" fillId="2" borderId="10" xfId="0" applyFont="1" applyFill="1" applyBorder="1" applyAlignment="1" applyProtection="1">
      <alignment horizontal="center"/>
    </xf>
    <xf numFmtId="10" fontId="4" fillId="0" borderId="7" xfId="3" applyNumberFormat="1" applyFont="1" applyBorder="1" applyAlignment="1" applyProtection="1">
      <alignment horizontal="center"/>
    </xf>
    <xf numFmtId="10" fontId="8" fillId="4" borderId="0" xfId="3" applyNumberFormat="1" applyFont="1" applyFill="1" applyBorder="1" applyAlignment="1" applyProtection="1">
      <alignment horizontal="center"/>
    </xf>
    <xf numFmtId="10" fontId="8" fillId="4" borderId="11" xfId="3" applyNumberFormat="1" applyFont="1" applyFill="1" applyBorder="1" applyAlignment="1" applyProtection="1">
      <alignment horizontal="center"/>
    </xf>
    <xf numFmtId="168" fontId="0" fillId="0" borderId="0" xfId="0" applyNumberFormat="1" applyProtection="1"/>
    <xf numFmtId="10" fontId="6" fillId="0" borderId="0" xfId="3" applyNumberFormat="1" applyFont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10" fontId="8" fillId="3" borderId="4" xfId="3" applyNumberFormat="1" applyFont="1" applyFill="1" applyBorder="1" applyAlignment="1" applyProtection="1">
      <alignment horizontal="center"/>
      <protection locked="0"/>
    </xf>
    <xf numFmtId="166" fontId="0" fillId="0" borderId="0" xfId="1" applyFont="1" applyProtection="1"/>
    <xf numFmtId="170" fontId="0" fillId="0" borderId="0" xfId="3" applyNumberFormat="1" applyFont="1" applyProtection="1"/>
    <xf numFmtId="10" fontId="0" fillId="0" borderId="0" xfId="3" applyNumberFormat="1" applyFont="1" applyProtection="1"/>
    <xf numFmtId="168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10" fontId="8" fillId="0" borderId="12" xfId="3" applyNumberFormat="1" applyFont="1" applyBorder="1" applyAlignment="1" applyProtection="1">
      <alignment horizontal="center"/>
    </xf>
    <xf numFmtId="171" fontId="10" fillId="0" borderId="0" xfId="1" applyNumberFormat="1" applyFont="1" applyAlignment="1" applyProtection="1">
      <alignment horizontal="center" vertical="center"/>
    </xf>
    <xf numFmtId="171" fontId="10" fillId="5" borderId="0" xfId="0" applyNumberFormat="1" applyFont="1" applyFill="1" applyProtection="1"/>
    <xf numFmtId="0" fontId="12" fillId="0" borderId="0" xfId="0" applyNumberFormat="1" applyFont="1" applyAlignment="1" applyProtection="1">
      <alignment horizontal="center"/>
    </xf>
    <xf numFmtId="0" fontId="12" fillId="0" borderId="0" xfId="0" applyNumberFormat="1" applyFont="1" applyAlignment="1" applyProtection="1">
      <alignment horizontal="center" vertical="center"/>
    </xf>
    <xf numFmtId="168" fontId="8" fillId="0" borderId="0" xfId="2" applyNumberFormat="1" applyFont="1" applyProtection="1"/>
    <xf numFmtId="14" fontId="0" fillId="0" borderId="0" xfId="0" applyNumberFormat="1" applyProtection="1"/>
    <xf numFmtId="0" fontId="10" fillId="0" borderId="0" xfId="0" applyNumberFormat="1" applyFont="1" applyAlignment="1" applyProtection="1">
      <alignment vertical="center"/>
    </xf>
    <xf numFmtId="168" fontId="10" fillId="0" borderId="0" xfId="0" applyNumberFormat="1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172" fontId="6" fillId="0" borderId="0" xfId="2" applyNumberFormat="1" applyFont="1" applyProtection="1"/>
    <xf numFmtId="167" fontId="0" fillId="0" borderId="0" xfId="0" applyNumberFormat="1" applyProtection="1"/>
    <xf numFmtId="0" fontId="10" fillId="6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7" borderId="14" xfId="0" applyFont="1" applyFill="1" applyBorder="1" applyAlignment="1">
      <alignment horizontal="left" vertical="center"/>
    </xf>
    <xf numFmtId="168" fontId="0" fillId="0" borderId="0" xfId="2" applyNumberFormat="1" applyFont="1"/>
    <xf numFmtId="0" fontId="15" fillId="9" borderId="15" xfId="0" applyFont="1" applyFill="1" applyBorder="1" applyAlignment="1">
      <alignment horizontal="left" vertical="top"/>
    </xf>
    <xf numFmtId="0" fontId="13" fillId="9" borderId="15" xfId="4" applyFill="1" applyBorder="1" applyAlignment="1">
      <alignment horizontal="left" vertical="top"/>
    </xf>
    <xf numFmtId="0" fontId="15" fillId="9" borderId="15" xfId="0" applyFont="1" applyFill="1" applyBorder="1" applyAlignment="1">
      <alignment horizontal="left" vertical="top" wrapText="1"/>
    </xf>
    <xf numFmtId="168" fontId="0" fillId="0" borderId="0" xfId="2" applyNumberFormat="1" applyFont="1" applyAlignment="1"/>
    <xf numFmtId="14" fontId="0" fillId="8" borderId="0" xfId="0" applyNumberFormat="1" applyFill="1"/>
    <xf numFmtId="14" fontId="6" fillId="0" borderId="0" xfId="0" applyNumberFormat="1" applyFont="1" applyAlignment="1" applyProtection="1">
      <alignment horizontal="center"/>
    </xf>
    <xf numFmtId="9" fontId="8" fillId="3" borderId="2" xfId="3" applyNumberFormat="1" applyFont="1" applyFill="1" applyBorder="1" applyAlignment="1" applyProtection="1">
      <alignment horizontal="center"/>
      <protection locked="0"/>
    </xf>
    <xf numFmtId="9" fontId="8" fillId="3" borderId="6" xfId="3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172" fontId="0" fillId="0" borderId="0" xfId="0" applyNumberFormat="1" applyProtection="1"/>
    <xf numFmtId="0" fontId="10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0" fillId="0" borderId="0" xfId="0" applyFill="1"/>
    <xf numFmtId="10" fontId="0" fillId="0" borderId="0" xfId="3" applyNumberFormat="1" applyFont="1" applyFill="1" applyProtection="1"/>
    <xf numFmtId="166" fontId="0" fillId="0" borderId="0" xfId="1" applyFont="1" applyFill="1" applyProtection="1"/>
    <xf numFmtId="10" fontId="4" fillId="0" borderId="0" xfId="3" applyNumberFormat="1" applyFont="1" applyFill="1" applyBorder="1" applyAlignment="1" applyProtection="1">
      <alignment horizontal="center"/>
    </xf>
    <xf numFmtId="10" fontId="8" fillId="0" borderId="0" xfId="3" applyNumberFormat="1" applyFont="1" applyFill="1" applyBorder="1" applyAlignment="1" applyProtection="1">
      <alignment horizontal="center"/>
    </xf>
    <xf numFmtId="9" fontId="8" fillId="0" borderId="0" xfId="3" applyFont="1" applyFill="1" applyBorder="1" applyAlignment="1" applyProtection="1">
      <alignment horizontal="center"/>
    </xf>
    <xf numFmtId="9" fontId="0" fillId="0" borderId="0" xfId="3" applyFont="1" applyFill="1" applyBorder="1" applyProtection="1"/>
    <xf numFmtId="9" fontId="0" fillId="0" borderId="0" xfId="3" applyFont="1" applyFill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0" fontId="17" fillId="0" borderId="0" xfId="0" applyFont="1" applyProtection="1"/>
    <xf numFmtId="0" fontId="18" fillId="0" borderId="0" xfId="0" applyFont="1" applyAlignment="1" applyProtection="1">
      <alignment horizontal="center"/>
    </xf>
    <xf numFmtId="14" fontId="18" fillId="0" borderId="0" xfId="0" applyNumberFormat="1" applyFont="1" applyAlignment="1" applyProtection="1">
      <alignment horizontal="center"/>
    </xf>
    <xf numFmtId="173" fontId="18" fillId="0" borderId="0" xfId="2" applyNumberFormat="1" applyFont="1" applyProtection="1"/>
    <xf numFmtId="14" fontId="8" fillId="3" borderId="2" xfId="3" applyNumberFormat="1" applyFont="1" applyFill="1" applyBorder="1" applyAlignment="1" applyProtection="1">
      <alignment horizontal="center"/>
      <protection locked="0"/>
    </xf>
    <xf numFmtId="14" fontId="8" fillId="3" borderId="6" xfId="3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0" fontId="4" fillId="10" borderId="7" xfId="3" applyNumberFormat="1" applyFont="1" applyFill="1" applyBorder="1" applyAlignment="1" applyProtection="1">
      <alignment horizontal="center"/>
    </xf>
    <xf numFmtId="0" fontId="0" fillId="4" borderId="0" xfId="0" applyFill="1" applyProtection="1"/>
    <xf numFmtId="0" fontId="19" fillId="0" borderId="0" xfId="0" applyFont="1" applyFill="1" applyBorder="1" applyAlignment="1" applyProtection="1">
      <alignment vertical="center"/>
    </xf>
    <xf numFmtId="168" fontId="4" fillId="0" borderId="25" xfId="0" applyNumberFormat="1" applyFont="1" applyBorder="1" applyProtection="1"/>
    <xf numFmtId="168" fontId="4" fillId="0" borderId="26" xfId="0" applyNumberFormat="1" applyFont="1" applyBorder="1" applyProtection="1"/>
    <xf numFmtId="168" fontId="4" fillId="0" borderId="24" xfId="0" applyNumberFormat="1" applyFont="1" applyBorder="1" applyProtection="1"/>
    <xf numFmtId="168" fontId="4" fillId="0" borderId="27" xfId="0" applyNumberFormat="1" applyFont="1" applyBorder="1" applyProtection="1"/>
    <xf numFmtId="168" fontId="4" fillId="0" borderId="28" xfId="0" applyNumberFormat="1" applyFont="1" applyBorder="1" applyProtection="1"/>
    <xf numFmtId="0" fontId="5" fillId="0" borderId="0" xfId="0" applyFont="1" applyProtection="1"/>
    <xf numFmtId="0" fontId="5" fillId="0" borderId="0" xfId="0" applyFont="1"/>
    <xf numFmtId="0" fontId="5" fillId="0" borderId="0" xfId="0" applyFont="1" applyAlignment="1" applyProtection="1">
      <alignment horizontal="center"/>
    </xf>
    <xf numFmtId="174" fontId="5" fillId="0" borderId="0" xfId="0" applyNumberFormat="1" applyFont="1" applyAlignment="1" applyProtection="1">
      <alignment horizontal="center"/>
    </xf>
    <xf numFmtId="0" fontId="2" fillId="11" borderId="16" xfId="0" applyFont="1" applyFill="1" applyBorder="1" applyAlignment="1" applyProtection="1">
      <alignment horizontal="center"/>
    </xf>
    <xf numFmtId="0" fontId="2" fillId="12" borderId="16" xfId="0" applyFont="1" applyFill="1" applyBorder="1" applyAlignment="1" applyProtection="1">
      <alignment horizontal="center"/>
    </xf>
    <xf numFmtId="0" fontId="2" fillId="12" borderId="18" xfId="0" applyFont="1" applyFill="1" applyBorder="1" applyAlignment="1" applyProtection="1">
      <alignment horizontal="center"/>
    </xf>
    <xf numFmtId="0" fontId="2" fillId="12" borderId="20" xfId="0" applyFont="1" applyFill="1" applyBorder="1" applyAlignment="1" applyProtection="1">
      <alignment horizontal="center"/>
    </xf>
    <xf numFmtId="0" fontId="2" fillId="11" borderId="22" xfId="0" applyFont="1" applyFill="1" applyBorder="1" applyAlignment="1" applyProtection="1">
      <alignment horizontal="center"/>
    </xf>
    <xf numFmtId="0" fontId="2" fillId="11" borderId="23" xfId="0" applyFont="1" applyFill="1" applyBorder="1" applyAlignment="1" applyProtection="1">
      <alignment horizontal="center"/>
    </xf>
    <xf numFmtId="0" fontId="2" fillId="11" borderId="24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14" fontId="6" fillId="0" borderId="0" xfId="0" applyNumberFormat="1" applyFont="1" applyAlignment="1" applyProtection="1">
      <alignment horizontal="center"/>
    </xf>
    <xf numFmtId="0" fontId="20" fillId="0" borderId="0" xfId="0" applyFont="1" applyAlignment="1" applyProtection="1"/>
    <xf numFmtId="0" fontId="21" fillId="0" borderId="0" xfId="0" applyFont="1" applyAlignment="1" applyProtection="1"/>
    <xf numFmtId="14" fontId="0" fillId="0" borderId="0" xfId="0" applyNumberFormat="1"/>
    <xf numFmtId="1" fontId="23" fillId="3" borderId="16" xfId="1" applyNumberFormat="1" applyFont="1" applyFill="1" applyBorder="1" applyAlignment="1" applyProtection="1">
      <alignment vertical="center"/>
    </xf>
    <xf numFmtId="176" fontId="0" fillId="0" borderId="0" xfId="0" applyNumberFormat="1" applyProtection="1"/>
    <xf numFmtId="2" fontId="0" fillId="0" borderId="0" xfId="0" applyNumberFormat="1" applyProtection="1"/>
    <xf numFmtId="175" fontId="5" fillId="0" borderId="0" xfId="3" applyNumberFormat="1" applyFont="1" applyAlignment="1" applyProtection="1">
      <alignment horizontal="center"/>
    </xf>
    <xf numFmtId="175" fontId="23" fillId="3" borderId="17" xfId="3" applyNumberFormat="1" applyFont="1" applyFill="1" applyBorder="1" applyAlignment="1" applyProtection="1">
      <alignment vertical="center"/>
    </xf>
    <xf numFmtId="14" fontId="8" fillId="13" borderId="17" xfId="3" applyNumberFormat="1" applyFont="1" applyFill="1" applyBorder="1" applyAlignment="1" applyProtection="1">
      <alignment horizontal="center"/>
      <protection locked="0"/>
    </xf>
    <xf numFmtId="177" fontId="8" fillId="13" borderId="19" xfId="3" applyNumberFormat="1" applyFont="1" applyFill="1" applyBorder="1" applyAlignment="1" applyProtection="1">
      <alignment horizontal="center"/>
      <protection locked="0"/>
    </xf>
    <xf numFmtId="176" fontId="8" fillId="13" borderId="21" xfId="3" applyNumberFormat="1" applyFont="1" applyFill="1" applyBorder="1" applyAlignment="1" applyProtection="1">
      <alignment horizontal="center"/>
      <protection locked="0"/>
    </xf>
    <xf numFmtId="164" fontId="8" fillId="3" borderId="17" xfId="2" applyNumberFormat="1" applyFont="1" applyFill="1" applyBorder="1" applyAlignment="1" applyProtection="1">
      <alignment horizontal="center"/>
    </xf>
    <xf numFmtId="164" fontId="8" fillId="3" borderId="19" xfId="2" applyNumberFormat="1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/>
    </xf>
    <xf numFmtId="10" fontId="8" fillId="3" borderId="19" xfId="0" applyNumberFormat="1" applyFont="1" applyFill="1" applyBorder="1" applyAlignment="1" applyProtection="1">
      <alignment horizontal="center"/>
    </xf>
    <xf numFmtId="169" fontId="8" fillId="3" borderId="21" xfId="1" applyNumberFormat="1" applyFont="1" applyFill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/>
    </xf>
    <xf numFmtId="175" fontId="8" fillId="0" borderId="0" xfId="0" applyNumberFormat="1" applyFont="1" applyFill="1" applyBorder="1" applyAlignment="1" applyProtection="1">
      <alignment horizontal="center"/>
    </xf>
    <xf numFmtId="176" fontId="8" fillId="0" borderId="0" xfId="3" applyNumberFormat="1" applyFont="1" applyFill="1" applyBorder="1" applyAlignment="1" applyProtection="1">
      <alignment horizontal="center"/>
    </xf>
    <xf numFmtId="2" fontId="8" fillId="0" borderId="0" xfId="1" applyNumberFormat="1" applyFont="1" applyFill="1" applyBorder="1" applyAlignment="1" applyProtection="1">
      <alignment horizontal="center"/>
    </xf>
    <xf numFmtId="175" fontId="8" fillId="0" borderId="0" xfId="3" applyNumberFormat="1" applyFont="1" applyFill="1" applyBorder="1" applyAlignment="1" applyProtection="1">
      <alignment horizontal="center"/>
    </xf>
    <xf numFmtId="175" fontId="8" fillId="3" borderId="30" xfId="0" applyNumberFormat="1" applyFont="1" applyFill="1" applyBorder="1" applyAlignment="1" applyProtection="1">
      <alignment horizontal="center"/>
    </xf>
    <xf numFmtId="176" fontId="8" fillId="3" borderId="31" xfId="3" applyNumberFormat="1" applyFont="1" applyFill="1" applyBorder="1" applyAlignment="1" applyProtection="1">
      <alignment horizontal="center"/>
    </xf>
    <xf numFmtId="2" fontId="8" fillId="3" borderId="31" xfId="1" applyNumberFormat="1" applyFont="1" applyFill="1" applyBorder="1" applyAlignment="1" applyProtection="1">
      <alignment horizontal="center"/>
    </xf>
    <xf numFmtId="175" fontId="8" fillId="3" borderId="32" xfId="3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11" borderId="22" xfId="0" applyFont="1" applyFill="1" applyBorder="1" applyAlignment="1" applyProtection="1">
      <alignment horizontal="center" vertical="center"/>
    </xf>
    <xf numFmtId="0" fontId="22" fillId="11" borderId="24" xfId="0" applyFont="1" applyFill="1" applyBorder="1" applyAlignment="1" applyProtection="1">
      <alignment horizontal="center" vertical="center"/>
    </xf>
    <xf numFmtId="0" fontId="22" fillId="11" borderId="16" xfId="0" applyFont="1" applyFill="1" applyBorder="1" applyAlignment="1" applyProtection="1">
      <alignment horizontal="center" vertical="center"/>
    </xf>
    <xf numFmtId="0" fontId="22" fillId="11" borderId="29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wrapText="1"/>
    </xf>
    <xf numFmtId="0" fontId="0" fillId="0" borderId="9" xfId="0" applyBorder="1" applyAlignment="1" applyProtection="1">
      <alignment horizont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ual" xfId="3" builtinId="5"/>
  </cellStyles>
  <dxfs count="23"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rgb="FFC00000"/>
      </font>
    </dxf>
    <dxf>
      <font>
        <color auto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border>
        <top style="thin">
          <color auto="1"/>
        </top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rgb="FFC00000"/>
      </font>
      <fill>
        <patternFill>
          <bgColor rgb="FFFF0000"/>
        </patternFill>
      </fill>
    </dxf>
    <dxf>
      <border>
        <top style="thin">
          <color auto="1"/>
        </top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</dxf>
    <dxf>
      <font>
        <color auto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3E5A62"/>
      <color rgb="FF007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464486</xdr:colOff>
      <xdr:row>0</xdr:row>
      <xdr:rowOff>632153</xdr:rowOff>
    </xdr:from>
    <xdr:to>
      <xdr:col>4</xdr:col>
      <xdr:colOff>124948</xdr:colOff>
      <xdr:row>4</xdr:row>
      <xdr:rowOff>79561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xmlns="" id="{8A59967D-2753-4E07-9AB7-2C213BDF3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4486" y="632153"/>
          <a:ext cx="1767868" cy="995221"/>
        </a:xfrm>
        <a:prstGeom prst="rect">
          <a:avLst/>
        </a:prstGeom>
      </xdr:spPr>
    </xdr:pic>
    <xdr:clientData/>
  </xdr:twoCellAnchor>
  <xdr:twoCellAnchor editAs="oneCell">
    <xdr:from>
      <xdr:col>10</xdr:col>
      <xdr:colOff>250031</xdr:colOff>
      <xdr:row>0</xdr:row>
      <xdr:rowOff>464344</xdr:rowOff>
    </xdr:from>
    <xdr:to>
      <xdr:col>11</xdr:col>
      <xdr:colOff>59531</xdr:colOff>
      <xdr:row>5</xdr:row>
      <xdr:rowOff>2413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620125" y="464344"/>
          <a:ext cx="1262063" cy="131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1011937</xdr:colOff>
      <xdr:row>0</xdr:row>
      <xdr:rowOff>0</xdr:rowOff>
    </xdr:from>
    <xdr:to>
      <xdr:col>6</xdr:col>
      <xdr:colOff>837684</xdr:colOff>
      <xdr:row>0</xdr:row>
      <xdr:rowOff>497442</xdr:rowOff>
    </xdr:to>
    <xdr:pic>
      <xdr:nvPicPr>
        <xdr:cNvPr id="2" name="Picture 5" descr="Resultado de imagen para sgr cardinal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1717" y="0"/>
          <a:ext cx="2111747" cy="49744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26895</xdr:colOff>
      <xdr:row>0</xdr:row>
      <xdr:rowOff>0</xdr:rowOff>
    </xdr:from>
    <xdr:to>
      <xdr:col>4</xdr:col>
      <xdr:colOff>35864</xdr:colOff>
      <xdr:row>0</xdr:row>
      <xdr:rowOff>838871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9335" y="0"/>
          <a:ext cx="2043509" cy="838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ublicholidays.com.ar/es/flag-day/" TargetMode="External"/><Relationship Id="rId13" Type="http://schemas.openxmlformats.org/officeDocument/2006/relationships/hyperlink" Target="https://publicholidays.com.ar/es/immaculate-conception/" TargetMode="External"/><Relationship Id="rId18" Type="http://schemas.openxmlformats.org/officeDocument/2006/relationships/hyperlink" Target="https://publicholidays.com.ar/es/malvinas-day/" TargetMode="External"/><Relationship Id="rId26" Type="http://schemas.openxmlformats.org/officeDocument/2006/relationships/hyperlink" Target="https://publicholidays.com.ar/es/death-of-san-martin/" TargetMode="External"/><Relationship Id="rId3" Type="http://schemas.openxmlformats.org/officeDocument/2006/relationships/hyperlink" Target="https://publicholidays.com.ar/es/truth-and-justice-day/" TargetMode="External"/><Relationship Id="rId21" Type="http://schemas.openxmlformats.org/officeDocument/2006/relationships/hyperlink" Target="https://publicholidays.com.ar/es/martin-miguel-de-guemes-day/" TargetMode="External"/><Relationship Id="rId7" Type="http://schemas.openxmlformats.org/officeDocument/2006/relationships/hyperlink" Target="https://publicholidays.com.ar/es/martin-miguel-de-guemes-day/" TargetMode="External"/><Relationship Id="rId12" Type="http://schemas.openxmlformats.org/officeDocument/2006/relationships/hyperlink" Target="https://publicholidays.com.ar/es/national-sovereignty-day/" TargetMode="External"/><Relationship Id="rId17" Type="http://schemas.openxmlformats.org/officeDocument/2006/relationships/hyperlink" Target="https://publicholidays.com.ar/es/truth-and-justice-day/" TargetMode="External"/><Relationship Id="rId25" Type="http://schemas.openxmlformats.org/officeDocument/2006/relationships/hyperlink" Target="https://publicholidays.com.ar/es/death-of-san-martin/" TargetMode="External"/><Relationship Id="rId2" Type="http://schemas.openxmlformats.org/officeDocument/2006/relationships/hyperlink" Target="https://publicholidays.com.ar/es/carnival/" TargetMode="External"/><Relationship Id="rId16" Type="http://schemas.openxmlformats.org/officeDocument/2006/relationships/hyperlink" Target="https://publicholidays.com.ar/es/carnival/" TargetMode="External"/><Relationship Id="rId20" Type="http://schemas.openxmlformats.org/officeDocument/2006/relationships/hyperlink" Target="https://publicholidays.com.ar/es/revolution-day/" TargetMode="External"/><Relationship Id="rId29" Type="http://schemas.openxmlformats.org/officeDocument/2006/relationships/hyperlink" Target="https://publicholidays.com.ar/es/national-sovereignty-day/" TargetMode="External"/><Relationship Id="rId1" Type="http://schemas.openxmlformats.org/officeDocument/2006/relationships/hyperlink" Target="https://publicholidays.com.ar/es/carnival/" TargetMode="External"/><Relationship Id="rId6" Type="http://schemas.openxmlformats.org/officeDocument/2006/relationships/hyperlink" Target="https://publicholidays.com.ar/es/revolution-day/" TargetMode="External"/><Relationship Id="rId11" Type="http://schemas.openxmlformats.org/officeDocument/2006/relationships/hyperlink" Target="https://publicholidays.com.ar/es/day-of-respect-for-cultural-diversity/" TargetMode="External"/><Relationship Id="rId24" Type="http://schemas.openxmlformats.org/officeDocument/2006/relationships/hyperlink" Target="https://publicholidays.com.ar/es/independence-day/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s://publicholidays.com.ar/es/malvinas-day/" TargetMode="External"/><Relationship Id="rId15" Type="http://schemas.openxmlformats.org/officeDocument/2006/relationships/hyperlink" Target="https://publicholidays.com.ar/es/carnival/" TargetMode="External"/><Relationship Id="rId23" Type="http://schemas.openxmlformats.org/officeDocument/2006/relationships/hyperlink" Target="https://publicholidays.com.ar/es/independence-day/" TargetMode="External"/><Relationship Id="rId28" Type="http://schemas.openxmlformats.org/officeDocument/2006/relationships/hyperlink" Target="https://publicholidays.com.ar/es/day-of-respect-for-cultural-diversity/" TargetMode="External"/><Relationship Id="rId10" Type="http://schemas.openxmlformats.org/officeDocument/2006/relationships/hyperlink" Target="https://publicholidays.com.ar/es/death-of-san-martin/" TargetMode="External"/><Relationship Id="rId19" Type="http://schemas.openxmlformats.org/officeDocument/2006/relationships/hyperlink" Target="https://publicholidays.com.ar/es/easter/" TargetMode="External"/><Relationship Id="rId31" Type="http://schemas.openxmlformats.org/officeDocument/2006/relationships/hyperlink" Target="https://publicholidays.com.ar/es/christmas/" TargetMode="External"/><Relationship Id="rId4" Type="http://schemas.openxmlformats.org/officeDocument/2006/relationships/hyperlink" Target="https://publicholidays.com.ar/es/easter/" TargetMode="External"/><Relationship Id="rId9" Type="http://schemas.openxmlformats.org/officeDocument/2006/relationships/hyperlink" Target="https://publicholidays.com.ar/es/independence-day/" TargetMode="External"/><Relationship Id="rId14" Type="http://schemas.openxmlformats.org/officeDocument/2006/relationships/hyperlink" Target="https://publicholidays.com.ar/es/christmas/" TargetMode="External"/><Relationship Id="rId22" Type="http://schemas.openxmlformats.org/officeDocument/2006/relationships/hyperlink" Target="https://publicholidays.com.ar/es/flag-day/" TargetMode="External"/><Relationship Id="rId27" Type="http://schemas.openxmlformats.org/officeDocument/2006/relationships/hyperlink" Target="https://publicholidays.com.ar/es/day-of-respect-for-cultural-diversity/" TargetMode="External"/><Relationship Id="rId30" Type="http://schemas.openxmlformats.org/officeDocument/2006/relationships/hyperlink" Target="https://publicholidays.com.ar/es/immaculate-concep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7"/>
  <sheetViews>
    <sheetView showGridLines="0" tabSelected="1" topLeftCell="B1" zoomScale="80" zoomScaleNormal="80" workbookViewId="0">
      <selection activeCell="E17" sqref="E17"/>
    </sheetView>
  </sheetViews>
  <sheetFormatPr baseColWidth="10" defaultColWidth="10.42578125" defaultRowHeight="15"/>
  <cols>
    <col min="1" max="1" width="14.5703125" style="104" hidden="1" customWidth="1"/>
    <col min="2" max="2" width="10.42578125" style="1" customWidth="1"/>
    <col min="3" max="3" width="7.28515625" style="1" customWidth="1"/>
    <col min="4" max="4" width="24.28515625" style="1" bestFit="1" customWidth="1"/>
    <col min="5" max="5" width="17.140625" style="1" customWidth="1"/>
    <col min="6" max="6" width="15.42578125" style="1" customWidth="1"/>
    <col min="7" max="7" width="13.5703125" style="1" bestFit="1" customWidth="1"/>
    <col min="8" max="8" width="14.5703125" style="1" customWidth="1"/>
    <col min="9" max="9" width="18.28515625" style="1" customWidth="1"/>
    <col min="10" max="10" width="15" style="1" customWidth="1"/>
    <col min="11" max="11" width="21.7109375" style="1" customWidth="1"/>
    <col min="12" max="12" width="4" style="1" customWidth="1"/>
    <col min="13" max="13" width="16.42578125" style="1" hidden="1" customWidth="1"/>
    <col min="14" max="14" width="3.28515625" hidden="1" customWidth="1"/>
    <col min="15" max="15" width="2.85546875" style="1" hidden="1" customWidth="1"/>
    <col min="16" max="16" width="5.42578125" style="1" hidden="1" customWidth="1"/>
    <col min="17" max="17" width="10.7109375" style="1" hidden="1" customWidth="1"/>
    <col min="18" max="18" width="16.28515625" style="1" hidden="1" customWidth="1"/>
    <col min="19" max="19" width="18.5703125" style="1" hidden="1" customWidth="1"/>
    <col min="20" max="21" width="17.140625" hidden="1" customWidth="1"/>
    <col min="22" max="22" width="14.5703125" style="1" hidden="1" customWidth="1"/>
    <col min="23" max="23" width="10.42578125" style="1" customWidth="1"/>
    <col min="24" max="24" width="9.7109375" style="1" customWidth="1"/>
    <col min="25" max="25" width="12.42578125" style="1" customWidth="1"/>
    <col min="26" max="26" width="13.7109375" style="1" customWidth="1"/>
    <col min="27" max="27" width="16.140625" style="1" customWidth="1"/>
    <col min="28" max="28" width="15.5703125" style="1" customWidth="1"/>
    <col min="29" max="16384" width="10.42578125" style="1"/>
  </cols>
  <sheetData>
    <row r="1" spans="1:27" ht="69" customHeight="1">
      <c r="L1"/>
      <c r="M1"/>
      <c r="O1"/>
    </row>
    <row r="2" spans="1:27">
      <c r="F2" s="36"/>
      <c r="L2"/>
      <c r="M2"/>
      <c r="O2"/>
    </row>
    <row r="3" spans="1:27">
      <c r="A3"/>
      <c r="L3"/>
      <c r="M3"/>
      <c r="O3"/>
    </row>
    <row r="4" spans="1:27" ht="23.25">
      <c r="C4" s="122"/>
      <c r="D4" s="142" t="s">
        <v>141</v>
      </c>
      <c r="E4" s="142"/>
      <c r="F4" s="142"/>
      <c r="G4" s="142"/>
      <c r="H4" s="142"/>
      <c r="I4" s="142"/>
      <c r="J4" s="142"/>
      <c r="K4" s="142"/>
      <c r="L4" s="117"/>
      <c r="M4" s="117"/>
      <c r="O4"/>
    </row>
    <row r="5" spans="1:27" ht="18">
      <c r="D5" s="143" t="s">
        <v>24</v>
      </c>
      <c r="E5" s="143"/>
      <c r="F5" s="143"/>
      <c r="G5" s="143"/>
      <c r="H5" s="143"/>
      <c r="I5" s="143"/>
      <c r="J5" s="143"/>
      <c r="K5" s="143"/>
      <c r="L5" s="118"/>
      <c r="M5" s="118"/>
      <c r="N5" s="118"/>
    </row>
    <row r="6" spans="1:27" ht="15.75" thickBot="1">
      <c r="G6" s="36"/>
      <c r="W6" s="75"/>
    </row>
    <row r="7" spans="1:27" ht="22.15" customHeight="1" thickBot="1">
      <c r="A7" s="105"/>
      <c r="D7" s="144" t="s">
        <v>128</v>
      </c>
      <c r="E7" s="145"/>
      <c r="W7" s="75"/>
    </row>
    <row r="8" spans="1:27" ht="19.5" thickBot="1">
      <c r="D8" s="14"/>
      <c r="G8" s="112" t="s">
        <v>8</v>
      </c>
      <c r="H8" s="99">
        <f>+SUM(H10:H1000)</f>
        <v>350000000</v>
      </c>
      <c r="I8" s="100">
        <f>+SUM(I10:I1000)</f>
        <v>141968750</v>
      </c>
      <c r="J8" s="101">
        <f>+SUM(J10:J1000)</f>
        <v>491968750</v>
      </c>
      <c r="K8" s="8"/>
      <c r="M8" s="96">
        <f>+SUM(M10:M1001)</f>
        <v>1</v>
      </c>
      <c r="O8" s="8"/>
      <c r="Q8" s="108" t="s">
        <v>8</v>
      </c>
      <c r="R8" s="102">
        <f>SUM(R10:R57)</f>
        <v>348368728.09076285</v>
      </c>
      <c r="S8" s="103">
        <f>+SUM(S10:S1000)</f>
        <v>100230202984.54518</v>
      </c>
      <c r="U8" s="120" t="s">
        <v>136</v>
      </c>
      <c r="V8" s="124">
        <f>+XIRR(V9:V13,U9:U13)</f>
        <v>0.53210051655769353</v>
      </c>
      <c r="W8" s="76"/>
    </row>
    <row r="9" spans="1:27" ht="15.75" thickBot="1">
      <c r="D9" s="109" t="s">
        <v>4</v>
      </c>
      <c r="E9" s="128">
        <v>350000000</v>
      </c>
      <c r="F9" s="37"/>
      <c r="G9" s="112" t="s">
        <v>15</v>
      </c>
      <c r="H9" s="113" t="s">
        <v>0</v>
      </c>
      <c r="I9" s="113" t="s">
        <v>2</v>
      </c>
      <c r="J9" s="113" t="s">
        <v>3</v>
      </c>
      <c r="K9" s="114" t="s">
        <v>13</v>
      </c>
      <c r="M9" s="115" t="s">
        <v>20</v>
      </c>
      <c r="Q9" s="112" t="s">
        <v>123</v>
      </c>
      <c r="R9" s="113" t="s">
        <v>124</v>
      </c>
      <c r="S9" s="114" t="s">
        <v>125</v>
      </c>
      <c r="U9" s="119">
        <f>+Fecha_Emision</f>
        <v>43553</v>
      </c>
      <c r="V9" s="121">
        <f>-E23</f>
        <v>-350000000</v>
      </c>
      <c r="W9" s="76"/>
      <c r="Y9" s="95"/>
    </row>
    <row r="10" spans="1:27">
      <c r="A10" s="106">
        <v>3</v>
      </c>
      <c r="B10" s="9"/>
      <c r="D10" s="110" t="s">
        <v>131</v>
      </c>
      <c r="E10" s="129" t="s">
        <v>132</v>
      </c>
      <c r="F10" s="36"/>
      <c r="G10" s="116">
        <f>+Fecha_Emision+90</f>
        <v>43643</v>
      </c>
      <c r="H10" s="3">
        <f>+IF(G10="","",$E$19*M10)</f>
        <v>0</v>
      </c>
      <c r="I10" s="3">
        <f>$E$19*(G10-$E$16)/360*($E$17+$E$18)</f>
        <v>38718750</v>
      </c>
      <c r="J10" s="3">
        <f>+IF(G10="","",H10+I10)</f>
        <v>38718750</v>
      </c>
      <c r="K10" s="3">
        <f>IF(G10="","",$E$19-SUM($H$10:H10))</f>
        <v>350000000</v>
      </c>
      <c r="M10" s="30">
        <v>0</v>
      </c>
      <c r="Q10" s="2">
        <f t="shared" ref="Q10:Q12" si="0">+IF(G10="","",G10-$E$16)</f>
        <v>90</v>
      </c>
      <c r="R10" s="3">
        <f>IF(G10="","",J10/(1+$E$22)^(Q10/360))</f>
        <v>34801624.220890649</v>
      </c>
      <c r="S10" s="3">
        <f t="shared" ref="S10" si="1">IF(A10="","",Q10*R10)</f>
        <v>3132146179.8801584</v>
      </c>
      <c r="U10" s="119">
        <f>+G10</f>
        <v>43643</v>
      </c>
      <c r="V10" s="32">
        <f>+J10</f>
        <v>38718750</v>
      </c>
      <c r="W10" s="76"/>
      <c r="Y10" s="33"/>
    </row>
    <row r="11" spans="1:27">
      <c r="A11" s="106">
        <v>6</v>
      </c>
      <c r="B11" s="9"/>
      <c r="D11" s="110" t="s">
        <v>1</v>
      </c>
      <c r="E11" s="130">
        <f>330/30</f>
        <v>11</v>
      </c>
      <c r="F11" s="36"/>
      <c r="G11" s="116">
        <f>+G10+90</f>
        <v>43733</v>
      </c>
      <c r="H11" s="3">
        <f>+IF(G11="","",$E$19*M11)</f>
        <v>0</v>
      </c>
      <c r="I11" s="3">
        <f>IF(G11="","",K10*(G11-G10)/360*($E$17+$E$18))</f>
        <v>38718750</v>
      </c>
      <c r="J11" s="3">
        <f t="shared" ref="J11:J70" si="2">+IF(G11="","",H11+I11)</f>
        <v>38718750</v>
      </c>
      <c r="K11" s="3">
        <f>IF(G11="","",$E$19-SUM($H$10:H11))</f>
        <v>350000000</v>
      </c>
      <c r="M11" s="30">
        <v>0</v>
      </c>
      <c r="O11" s="97"/>
      <c r="Q11" s="2">
        <f t="shared" si="0"/>
        <v>180</v>
      </c>
      <c r="R11" s="3">
        <f>IF(G11="","",J11/(1+$E$22)^(Q11/360))</f>
        <v>31280788.982394386</v>
      </c>
      <c r="S11" s="3">
        <f t="shared" ref="S11:S42" si="3">IF(A11="","",Q11*R11)</f>
        <v>5630542016.8309898</v>
      </c>
      <c r="U11" s="119">
        <f t="shared" ref="U11" si="4">+G11</f>
        <v>43733</v>
      </c>
      <c r="V11" s="32">
        <f t="shared" ref="V11" si="5">+J11</f>
        <v>38718750</v>
      </c>
      <c r="W11" s="73"/>
      <c r="Y11" s="33"/>
    </row>
    <row r="12" spans="1:27" s="97" customFormat="1">
      <c r="A12" s="106">
        <v>9</v>
      </c>
      <c r="B12" s="9"/>
      <c r="C12" s="1"/>
      <c r="D12" s="110" t="s">
        <v>127</v>
      </c>
      <c r="E12" s="131">
        <v>1</v>
      </c>
      <c r="F12" s="36"/>
      <c r="G12" s="116">
        <f>+G11+90</f>
        <v>43823</v>
      </c>
      <c r="H12" s="3">
        <f>+IF(G12="","",$E$19*M12)</f>
        <v>0</v>
      </c>
      <c r="I12" s="3">
        <f>IF(G12="","",K11*(G12-G11)/360*($E$17+$E$18))</f>
        <v>38718750</v>
      </c>
      <c r="J12" s="3">
        <f t="shared" si="2"/>
        <v>38718750</v>
      </c>
      <c r="K12" s="3">
        <f>IF(G12="","",$E$19-SUM($H$10:H12))</f>
        <v>350000000</v>
      </c>
      <c r="M12" s="30">
        <v>0</v>
      </c>
      <c r="N12"/>
      <c r="O12" s="1"/>
      <c r="P12" s="1"/>
      <c r="Q12" s="2">
        <f t="shared" si="0"/>
        <v>270</v>
      </c>
      <c r="R12" s="3">
        <f>IF(G12="","",J12/(1+$E$22)^(Q12/360))</f>
        <v>28116152.083893869</v>
      </c>
      <c r="S12" s="3">
        <f t="shared" si="3"/>
        <v>7591361062.6513443</v>
      </c>
      <c r="T12"/>
      <c r="U12" s="119">
        <f>+G12</f>
        <v>43823</v>
      </c>
      <c r="V12" s="32">
        <f>+J12</f>
        <v>38718750</v>
      </c>
      <c r="W12" s="73"/>
      <c r="X12" s="1"/>
      <c r="Y12" s="33"/>
      <c r="Z12" s="1"/>
      <c r="AA12" s="1"/>
    </row>
    <row r="13" spans="1:27" ht="15.75" thickBot="1">
      <c r="A13" s="106">
        <v>12</v>
      </c>
      <c r="B13" s="9"/>
      <c r="C13" s="97"/>
      <c r="D13" s="111" t="s">
        <v>133</v>
      </c>
      <c r="E13" s="132" t="s">
        <v>137</v>
      </c>
      <c r="F13" s="36"/>
      <c r="G13" s="116">
        <f>+G12+60</f>
        <v>43883</v>
      </c>
      <c r="H13" s="3">
        <v>350000000</v>
      </c>
      <c r="I13" s="3">
        <f>IF(G13="","",K12*(G13-G12)/360*($E$17+$E$18))</f>
        <v>25812500</v>
      </c>
      <c r="J13" s="3">
        <f>+IF(G13="","",H13+I13)</f>
        <v>375812500</v>
      </c>
      <c r="K13" s="3">
        <f>IF(G13="","",$E$19-SUM($H$10:H13))</f>
        <v>0</v>
      </c>
      <c r="M13" s="30">
        <v>1</v>
      </c>
      <c r="P13" s="7"/>
      <c r="Q13" s="2">
        <f>+IF(G13="","",G13-$E$16)</f>
        <v>330</v>
      </c>
      <c r="R13" s="3">
        <f>IF(G13="","",J13/(1+$E$22)^(Q13/360))</f>
        <v>254170162.80358392</v>
      </c>
      <c r="S13" s="3">
        <f>IF(A13="","",Q13*R13)</f>
        <v>83876153725.182693</v>
      </c>
      <c r="U13" s="119">
        <f>+G13</f>
        <v>43883</v>
      </c>
      <c r="V13" s="32">
        <f>+J13</f>
        <v>375812500</v>
      </c>
      <c r="W13" s="73"/>
      <c r="X13" s="43"/>
      <c r="Y13" s="33"/>
    </row>
    <row r="14" spans="1:27" ht="15.75" thickBot="1">
      <c r="A14" s="106"/>
      <c r="B14" s="9"/>
      <c r="F14" s="36"/>
      <c r="G14" s="116"/>
      <c r="H14" s="3" t="str">
        <f>+IF(G14="","",$E$19*M14)</f>
        <v/>
      </c>
      <c r="I14" s="3" t="str">
        <f>IF(G14="","",K13*(G14-G13)/365*($E$17+$E$18))</f>
        <v/>
      </c>
      <c r="J14" s="3" t="str">
        <f t="shared" si="2"/>
        <v/>
      </c>
      <c r="K14" s="3" t="str">
        <f>IF(G14="","",$E$19-SUM($H$10:H14))</f>
        <v/>
      </c>
      <c r="M14" s="30"/>
      <c r="Q14" s="2" t="str">
        <f>+IF(G14="","",G14-$E$16)</f>
        <v/>
      </c>
      <c r="R14" s="3" t="str">
        <f t="shared" ref="R14:R17" si="6">IF(G14="","",J14/(1+$E$22)^(Q14/365))</f>
        <v/>
      </c>
      <c r="S14" s="3" t="str">
        <f t="shared" si="3"/>
        <v/>
      </c>
      <c r="U14" s="119"/>
      <c r="W14" s="77"/>
      <c r="X14" s="43"/>
      <c r="Y14" s="33"/>
    </row>
    <row r="15" spans="1:27" ht="15.75" thickBot="1">
      <c r="A15" s="106"/>
      <c r="B15" s="9"/>
      <c r="D15" s="144" t="s">
        <v>129</v>
      </c>
      <c r="E15" s="145"/>
      <c r="F15" s="36"/>
      <c r="G15" s="116"/>
      <c r="H15" s="3" t="str">
        <f>+IF(G15="","",$E$19*M15)</f>
        <v/>
      </c>
      <c r="I15" s="3" t="str">
        <f>IF(G15="","",K14*(G15-G14)/365*($E$17+$E$18))</f>
        <v/>
      </c>
      <c r="J15" s="3" t="str">
        <f t="shared" si="2"/>
        <v/>
      </c>
      <c r="K15" s="3" t="str">
        <f>IF(G15="","",$E$19-SUM($H$10:H15))</f>
        <v/>
      </c>
      <c r="M15" s="30"/>
      <c r="Q15" s="2" t="str">
        <f>+IF(G15="","",G15-$E$16)</f>
        <v/>
      </c>
      <c r="R15" s="3" t="str">
        <f t="shared" si="6"/>
        <v/>
      </c>
      <c r="S15" s="3" t="str">
        <f t="shared" si="3"/>
        <v/>
      </c>
      <c r="U15" s="119"/>
      <c r="W15" s="71"/>
      <c r="X15" s="43"/>
      <c r="Y15" s="33"/>
    </row>
    <row r="16" spans="1:27">
      <c r="A16" s="106"/>
      <c r="B16" s="9"/>
      <c r="D16" s="109" t="s">
        <v>14</v>
      </c>
      <c r="E16" s="125">
        <v>43553</v>
      </c>
      <c r="G16" s="116"/>
      <c r="H16" s="3" t="str">
        <f>+IF(G16="","",$E$19*M16)</f>
        <v/>
      </c>
      <c r="I16" s="3" t="str">
        <f>IF(G16="","",K15*(G16-G15)/365*($E$17+$E$18))</f>
        <v/>
      </c>
      <c r="J16" s="3" t="str">
        <f t="shared" si="2"/>
        <v/>
      </c>
      <c r="K16" s="3" t="str">
        <f>IF(G16="","",$E$19-SUM($H$10:H16))</f>
        <v/>
      </c>
      <c r="M16" s="30"/>
      <c r="Q16" s="2" t="str">
        <f>+IF(G16="","",G16-$E$16)</f>
        <v/>
      </c>
      <c r="R16" s="3" t="str">
        <f t="shared" si="6"/>
        <v/>
      </c>
      <c r="S16" s="3" t="str">
        <f t="shared" si="3"/>
        <v/>
      </c>
      <c r="U16" s="119"/>
      <c r="W16" s="78"/>
      <c r="X16" s="43"/>
      <c r="Y16" s="33"/>
    </row>
    <row r="17" spans="1:25">
      <c r="A17" s="106"/>
      <c r="B17" s="9"/>
      <c r="D17" s="110" t="s">
        <v>139</v>
      </c>
      <c r="E17" s="126">
        <v>0.42249999999999999</v>
      </c>
      <c r="G17" s="116"/>
      <c r="H17" s="3" t="str">
        <f>+IF(G17="","",$E$19*M17)</f>
        <v/>
      </c>
      <c r="I17" s="3" t="str">
        <f>IF(G17="","",K16*(G17-G16)/365*($E$17+$E$18))</f>
        <v/>
      </c>
      <c r="J17" s="3" t="str">
        <f t="shared" si="2"/>
        <v/>
      </c>
      <c r="K17" s="3" t="str">
        <f>IF(G17="","",$E$19-SUM($H$10:H17))</f>
        <v/>
      </c>
      <c r="M17" s="30"/>
      <c r="Q17" s="2" t="str">
        <f>+IF(G17="","",G17-$E$16)</f>
        <v/>
      </c>
      <c r="R17" s="3" t="str">
        <f t="shared" si="6"/>
        <v/>
      </c>
      <c r="S17" s="3" t="str">
        <f t="shared" si="3"/>
        <v/>
      </c>
      <c r="U17" s="119"/>
      <c r="W17" s="78"/>
      <c r="X17" s="43"/>
      <c r="Y17" s="33"/>
    </row>
    <row r="18" spans="1:25">
      <c r="A18" s="106"/>
      <c r="B18" s="9"/>
      <c r="D18" s="110" t="s">
        <v>142</v>
      </c>
      <c r="E18" s="126">
        <v>0.02</v>
      </c>
      <c r="G18" s="116"/>
      <c r="H18" s="3"/>
      <c r="I18" s="3"/>
      <c r="J18" s="3"/>
      <c r="K18" s="3"/>
      <c r="M18" s="30"/>
      <c r="Q18" s="2"/>
      <c r="R18" s="3"/>
      <c r="S18" s="3" t="str">
        <f t="shared" si="3"/>
        <v/>
      </c>
      <c r="U18" s="119"/>
      <c r="W18" s="78"/>
      <c r="X18" s="43"/>
      <c r="Y18" s="33"/>
    </row>
    <row r="19" spans="1:25" ht="15.75" thickBot="1">
      <c r="A19" s="106"/>
      <c r="B19" s="9"/>
      <c r="D19" s="111" t="s">
        <v>135</v>
      </c>
      <c r="E19" s="127">
        <v>350000000</v>
      </c>
      <c r="G19" s="116"/>
      <c r="H19" s="3"/>
      <c r="I19" s="3"/>
      <c r="J19" s="3"/>
      <c r="K19" s="3"/>
      <c r="M19" s="30"/>
      <c r="Q19" s="2"/>
      <c r="R19" s="3"/>
      <c r="S19" s="3" t="str">
        <f t="shared" si="3"/>
        <v/>
      </c>
      <c r="U19" s="119"/>
      <c r="W19" s="78"/>
      <c r="X19" s="43"/>
      <c r="Y19" s="33"/>
    </row>
    <row r="20" spans="1:25" ht="15" customHeight="1" thickBot="1">
      <c r="A20" s="106"/>
      <c r="B20" s="9"/>
      <c r="G20" s="116"/>
      <c r="H20" s="3"/>
      <c r="I20" s="3"/>
      <c r="J20" s="3"/>
      <c r="K20" s="3"/>
      <c r="M20" s="30"/>
      <c r="Q20" s="2"/>
      <c r="R20" s="3"/>
      <c r="S20" s="3" t="str">
        <f t="shared" si="3"/>
        <v/>
      </c>
      <c r="W20" s="78"/>
      <c r="X20" s="43"/>
      <c r="Y20" s="33"/>
    </row>
    <row r="21" spans="1:25" ht="15" customHeight="1" thickBot="1">
      <c r="A21" s="106"/>
      <c r="B21" s="9"/>
      <c r="D21" s="146" t="s">
        <v>130</v>
      </c>
      <c r="E21" s="147"/>
      <c r="G21" s="116"/>
      <c r="H21" s="3"/>
      <c r="I21" s="3"/>
      <c r="J21" s="3"/>
      <c r="K21" s="3"/>
      <c r="M21" s="30"/>
      <c r="Q21" s="2"/>
      <c r="R21" s="3"/>
      <c r="S21" s="3" t="str">
        <f t="shared" si="3"/>
        <v/>
      </c>
      <c r="W21" s="78"/>
      <c r="X21" s="43"/>
      <c r="Y21" s="33"/>
    </row>
    <row r="22" spans="1:25" ht="15" customHeight="1">
      <c r="A22" s="106"/>
      <c r="B22" s="9"/>
      <c r="D22" s="109" t="s">
        <v>134</v>
      </c>
      <c r="E22" s="138">
        <f>+V8</f>
        <v>0.53210051655769353</v>
      </c>
      <c r="F22" s="15"/>
      <c r="G22" s="116"/>
      <c r="H22" s="3" t="str">
        <f t="shared" ref="H22:H27" si="7">+IF(G22="","",$E$19*M22)</f>
        <v/>
      </c>
      <c r="I22" s="3" t="str">
        <f t="shared" ref="I22:I27" si="8">IF(G22="","",K21*(G22-G21)/365*($E$17+$E$18))</f>
        <v/>
      </c>
      <c r="J22" s="3" t="str">
        <f t="shared" si="2"/>
        <v/>
      </c>
      <c r="K22" s="3" t="str">
        <f>IF(G22="","",$E$19-SUM($H$10:H22))</f>
        <v/>
      </c>
      <c r="M22" s="30"/>
      <c r="Q22" s="2" t="str">
        <f t="shared" ref="Q22:Q53" si="9">+IF(G22="","",G22-$E$16)</f>
        <v/>
      </c>
      <c r="R22" s="3" t="str">
        <f t="shared" ref="R22:R27" si="10">IF(G22="","",J22/(1+$E$22)^(Q22/365))</f>
        <v/>
      </c>
      <c r="S22" s="3" t="str">
        <f t="shared" si="3"/>
        <v/>
      </c>
      <c r="W22" s="78"/>
      <c r="X22" s="43"/>
      <c r="Y22" s="33"/>
    </row>
    <row r="23" spans="1:25" ht="15" customHeight="1">
      <c r="A23" s="106"/>
      <c r="B23" s="9"/>
      <c r="D23" s="110" t="s">
        <v>140</v>
      </c>
      <c r="E23" s="139">
        <f>+E19*E12</f>
        <v>350000000</v>
      </c>
      <c r="F23" s="134"/>
      <c r="G23" s="116"/>
      <c r="H23" s="3" t="str">
        <f t="shared" si="7"/>
        <v/>
      </c>
      <c r="I23" s="3" t="str">
        <f t="shared" si="8"/>
        <v/>
      </c>
      <c r="J23" s="3" t="str">
        <f t="shared" si="2"/>
        <v/>
      </c>
      <c r="K23" s="3" t="str">
        <f>IF(G23="","",$E$19-SUM($H$10:H23))</f>
        <v/>
      </c>
      <c r="M23" s="30"/>
      <c r="Q23" s="2" t="str">
        <f t="shared" si="9"/>
        <v/>
      </c>
      <c r="R23" s="3" t="str">
        <f t="shared" si="10"/>
        <v/>
      </c>
      <c r="S23" s="3" t="str">
        <f t="shared" si="3"/>
        <v/>
      </c>
      <c r="W23" s="78"/>
      <c r="X23" s="43"/>
      <c r="Y23" s="33"/>
    </row>
    <row r="24" spans="1:25">
      <c r="A24" s="106"/>
      <c r="B24" s="9"/>
      <c r="D24" s="110" t="s">
        <v>126</v>
      </c>
      <c r="E24" s="140">
        <f>+S8/R8/30</f>
        <v>9.5904324835983878</v>
      </c>
      <c r="F24" s="135"/>
      <c r="G24" s="116"/>
      <c r="H24" s="3" t="str">
        <f t="shared" si="7"/>
        <v/>
      </c>
      <c r="I24" s="3" t="str">
        <f t="shared" si="8"/>
        <v/>
      </c>
      <c r="J24" s="3" t="str">
        <f t="shared" si="2"/>
        <v/>
      </c>
      <c r="K24" s="3" t="str">
        <f>IF(G24="","",$E$19-SUM($H$10:H24))</f>
        <v/>
      </c>
      <c r="M24" s="30"/>
      <c r="Q24" s="2" t="str">
        <f t="shared" si="9"/>
        <v/>
      </c>
      <c r="R24" s="3" t="str">
        <f t="shared" si="10"/>
        <v/>
      </c>
      <c r="S24" s="3" t="str">
        <f t="shared" si="3"/>
        <v/>
      </c>
      <c r="W24" s="78"/>
      <c r="X24" s="43"/>
      <c r="Y24" s="33"/>
    </row>
    <row r="25" spans="1:25" ht="15.75" thickBot="1">
      <c r="A25" s="106"/>
      <c r="B25" s="9"/>
      <c r="D25" s="111" t="s">
        <v>138</v>
      </c>
      <c r="E25" s="141">
        <f>+((1+E22)^(90/360)-1)*(360/90)</f>
        <v>0.45022332914657337</v>
      </c>
      <c r="F25" s="136"/>
      <c r="G25" s="116"/>
      <c r="H25" s="3" t="str">
        <f t="shared" si="7"/>
        <v/>
      </c>
      <c r="I25" s="3" t="str">
        <f t="shared" si="8"/>
        <v/>
      </c>
      <c r="J25" s="3" t="str">
        <f t="shared" si="2"/>
        <v/>
      </c>
      <c r="K25" s="3" t="str">
        <f>IF(G25="","",$E$19-SUM($H$10:H25))</f>
        <v/>
      </c>
      <c r="M25" s="30"/>
      <c r="Q25" s="2" t="str">
        <f t="shared" si="9"/>
        <v/>
      </c>
      <c r="R25" s="3" t="str">
        <f t="shared" si="10"/>
        <v/>
      </c>
      <c r="S25" s="3" t="str">
        <f t="shared" si="3"/>
        <v/>
      </c>
      <c r="W25" s="78"/>
      <c r="X25" s="43"/>
      <c r="Y25" s="33"/>
    </row>
    <row r="26" spans="1:25">
      <c r="A26" s="106"/>
      <c r="B26" s="9"/>
      <c r="C26" s="9"/>
      <c r="D26" s="9"/>
      <c r="E26" s="123"/>
      <c r="F26" s="137"/>
      <c r="G26" s="116"/>
      <c r="H26" s="3" t="str">
        <f t="shared" si="7"/>
        <v/>
      </c>
      <c r="I26" s="3" t="str">
        <f t="shared" si="8"/>
        <v/>
      </c>
      <c r="J26" s="3" t="str">
        <f t="shared" si="2"/>
        <v/>
      </c>
      <c r="K26" s="3" t="str">
        <f>IF(G26="","",$E$19-SUM($H$10:H26))</f>
        <v/>
      </c>
      <c r="M26" s="30"/>
      <c r="Q26" s="2" t="str">
        <f t="shared" si="9"/>
        <v/>
      </c>
      <c r="R26" s="3" t="str">
        <f t="shared" si="10"/>
        <v/>
      </c>
      <c r="S26" s="3" t="str">
        <f t="shared" si="3"/>
        <v/>
      </c>
      <c r="W26" s="78"/>
      <c r="X26" s="43"/>
      <c r="Y26" s="33"/>
    </row>
    <row r="27" spans="1:25">
      <c r="A27" s="106"/>
      <c r="B27" s="9"/>
      <c r="C27" s="9"/>
      <c r="D27" s="116"/>
      <c r="E27" s="3" t="str">
        <f>+IF(D27="","",$E$19*J28)</f>
        <v/>
      </c>
      <c r="F27" s="15"/>
      <c r="G27" s="116"/>
      <c r="H27" s="3" t="str">
        <f t="shared" si="7"/>
        <v/>
      </c>
      <c r="I27" s="3" t="str">
        <f t="shared" si="8"/>
        <v/>
      </c>
      <c r="J27" s="3" t="str">
        <f t="shared" si="2"/>
        <v/>
      </c>
      <c r="K27" s="3" t="str">
        <f>IF(G27="","",$E$19-SUM($H$10:H27))</f>
        <v/>
      </c>
      <c r="M27" s="30"/>
      <c r="Q27" s="2" t="str">
        <f t="shared" si="9"/>
        <v/>
      </c>
      <c r="R27" s="3" t="str">
        <f t="shared" si="10"/>
        <v/>
      </c>
      <c r="S27" s="3" t="str">
        <f t="shared" si="3"/>
        <v/>
      </c>
      <c r="W27" s="78"/>
      <c r="X27" s="43"/>
      <c r="Y27" s="33"/>
    </row>
    <row r="28" spans="1:25">
      <c r="A28" s="106"/>
      <c r="B28" s="9"/>
      <c r="D28" s="9"/>
      <c r="E28" s="9"/>
      <c r="F28" s="3" t="str">
        <f>IF(D27="","",K27*(D27-G27)/365*($E$17+$E$18))</f>
        <v/>
      </c>
      <c r="G28" s="3" t="str">
        <f>+IF(D27="","",E27+F28)</f>
        <v/>
      </c>
      <c r="H28" s="3"/>
      <c r="J28" s="30"/>
      <c r="K28"/>
      <c r="N28" s="2" t="str">
        <f>+IF(D27="","",D27-$E$16)</f>
        <v/>
      </c>
      <c r="O28" s="3" t="str">
        <f>IF(D27="","",G28/(1+$E$22)^(N28/365))</f>
        <v/>
      </c>
      <c r="P28" s="3" t="str">
        <f>IF(A28="","",N28*O28)</f>
        <v/>
      </c>
      <c r="Q28"/>
      <c r="R28"/>
      <c r="T28" s="78"/>
      <c r="U28" s="43"/>
      <c r="V28" s="33"/>
    </row>
    <row r="29" spans="1:25" ht="15.75">
      <c r="A29" s="106"/>
      <c r="B29" s="9"/>
      <c r="C29" s="9"/>
      <c r="D29" s="9"/>
      <c r="E29" s="9"/>
      <c r="F29" s="98"/>
      <c r="G29" s="116"/>
      <c r="H29" s="3" t="str">
        <f t="shared" ref="H29:H70" si="11">+IF(G29="","",$E$19*M29)</f>
        <v/>
      </c>
      <c r="I29" s="3" t="str">
        <f>IF(G29="","",H28*(G29-D27)/365*($E$17+$E$18))</f>
        <v/>
      </c>
      <c r="J29" s="3" t="str">
        <f t="shared" si="2"/>
        <v/>
      </c>
      <c r="K29" s="3" t="str">
        <f>IF(G29="","",$E$19-SUM($H$10:H29))</f>
        <v/>
      </c>
      <c r="M29" s="30"/>
      <c r="Q29" s="2" t="str">
        <f t="shared" si="9"/>
        <v/>
      </c>
      <c r="R29" s="3" t="str">
        <f t="shared" ref="R29:R53" si="12">IF(G29="","",J29/(1+$E$22)^(Q29/365))</f>
        <v/>
      </c>
      <c r="S29" s="3" t="str">
        <f t="shared" si="3"/>
        <v/>
      </c>
      <c r="W29" s="78"/>
      <c r="X29" s="43"/>
      <c r="Y29" s="33"/>
    </row>
    <row r="30" spans="1:25">
      <c r="A30" s="106"/>
      <c r="B30" s="9"/>
      <c r="C30" s="9"/>
      <c r="D30" s="9"/>
      <c r="E30" s="9"/>
      <c r="G30" s="116"/>
      <c r="H30" s="3" t="str">
        <f t="shared" si="11"/>
        <v/>
      </c>
      <c r="I30" s="3" t="str">
        <f t="shared" ref="I30:I70" si="13">IF(G30="","",K29*(G30-G29)/365*($E$17+$E$18))</f>
        <v/>
      </c>
      <c r="J30" s="3" t="str">
        <f t="shared" si="2"/>
        <v/>
      </c>
      <c r="K30" s="3" t="str">
        <f>IF(G30="","",$E$19-SUM($H$10:H30))</f>
        <v/>
      </c>
      <c r="M30" s="30"/>
      <c r="Q30" s="2" t="str">
        <f t="shared" si="9"/>
        <v/>
      </c>
      <c r="R30" s="3" t="str">
        <f t="shared" si="12"/>
        <v/>
      </c>
      <c r="S30" s="3" t="str">
        <f t="shared" si="3"/>
        <v/>
      </c>
      <c r="W30" s="78"/>
      <c r="X30" s="43"/>
      <c r="Y30" s="33"/>
    </row>
    <row r="31" spans="1:25">
      <c r="A31" s="106"/>
      <c r="B31" s="9"/>
      <c r="C31" s="9"/>
      <c r="D31" s="9"/>
      <c r="E31" s="9"/>
      <c r="F31" s="67" t="s">
        <v>122</v>
      </c>
      <c r="G31" s="116"/>
      <c r="H31" s="3" t="str">
        <f t="shared" si="11"/>
        <v/>
      </c>
      <c r="I31" s="3" t="str">
        <f t="shared" si="13"/>
        <v/>
      </c>
      <c r="J31" s="3" t="str">
        <f t="shared" si="2"/>
        <v/>
      </c>
      <c r="K31" s="3" t="str">
        <f>IF(G31="","",$E$19-SUM($H$10:H31))</f>
        <v/>
      </c>
      <c r="M31" s="30"/>
      <c r="Q31" s="2" t="str">
        <f t="shared" si="9"/>
        <v/>
      </c>
      <c r="R31" s="3" t="str">
        <f t="shared" si="12"/>
        <v/>
      </c>
      <c r="S31" s="3" t="str">
        <f t="shared" si="3"/>
        <v/>
      </c>
      <c r="W31" s="78"/>
      <c r="X31" s="43"/>
      <c r="Y31" s="33"/>
    </row>
    <row r="32" spans="1:25">
      <c r="A32" s="106"/>
      <c r="B32" s="9"/>
      <c r="C32" s="9"/>
      <c r="D32" s="9"/>
      <c r="E32" s="9"/>
      <c r="F32" s="133"/>
      <c r="G32" s="116"/>
      <c r="H32" s="3" t="str">
        <f t="shared" si="11"/>
        <v/>
      </c>
      <c r="I32" s="3" t="str">
        <f t="shared" si="13"/>
        <v/>
      </c>
      <c r="J32" s="3" t="str">
        <f t="shared" si="2"/>
        <v/>
      </c>
      <c r="K32" s="3" t="str">
        <f>IF(G32="","",$E$19-SUM($H$10:H32))</f>
        <v/>
      </c>
      <c r="M32" s="30"/>
      <c r="Q32" s="2" t="str">
        <f t="shared" si="9"/>
        <v/>
      </c>
      <c r="R32" s="3" t="str">
        <f t="shared" si="12"/>
        <v/>
      </c>
      <c r="S32" s="3" t="str">
        <f t="shared" si="3"/>
        <v/>
      </c>
      <c r="W32" s="78"/>
      <c r="X32" s="43"/>
      <c r="Y32" s="33"/>
    </row>
    <row r="33" spans="1:25">
      <c r="A33" s="106"/>
      <c r="B33" s="9"/>
      <c r="C33" s="9"/>
      <c r="D33" s="9"/>
      <c r="E33" s="9"/>
      <c r="G33" s="116"/>
      <c r="H33" s="3" t="str">
        <f t="shared" si="11"/>
        <v/>
      </c>
      <c r="I33" s="3" t="str">
        <f t="shared" si="13"/>
        <v/>
      </c>
      <c r="J33" s="3" t="str">
        <f t="shared" si="2"/>
        <v/>
      </c>
      <c r="K33" s="3" t="str">
        <f>IF(G33="","",$E$19-SUM($H$10:H33))</f>
        <v/>
      </c>
      <c r="M33" s="30"/>
      <c r="Q33" s="2" t="str">
        <f t="shared" si="9"/>
        <v/>
      </c>
      <c r="R33" s="3" t="str">
        <f t="shared" si="12"/>
        <v/>
      </c>
      <c r="S33" s="3" t="str">
        <f t="shared" si="3"/>
        <v/>
      </c>
      <c r="W33" s="78"/>
      <c r="X33" s="43"/>
      <c r="Y33" s="33"/>
    </row>
    <row r="34" spans="1:25">
      <c r="A34" s="106"/>
      <c r="B34" s="9"/>
      <c r="C34" s="9"/>
      <c r="D34" s="9"/>
      <c r="E34" s="9"/>
      <c r="G34" s="116"/>
      <c r="H34" s="3" t="str">
        <f t="shared" si="11"/>
        <v/>
      </c>
      <c r="I34" s="3" t="str">
        <f t="shared" si="13"/>
        <v/>
      </c>
      <c r="J34" s="3" t="str">
        <f t="shared" si="2"/>
        <v/>
      </c>
      <c r="K34" s="3" t="str">
        <f>IF(G34="","",$E$19-SUM($H$10:H34))</f>
        <v/>
      </c>
      <c r="M34" s="30"/>
      <c r="Q34" s="2" t="str">
        <f t="shared" si="9"/>
        <v/>
      </c>
      <c r="R34" s="3" t="str">
        <f t="shared" si="12"/>
        <v/>
      </c>
      <c r="S34" s="3" t="str">
        <f t="shared" si="3"/>
        <v/>
      </c>
      <c r="W34" s="78"/>
      <c r="X34" s="43"/>
      <c r="Y34" s="33"/>
    </row>
    <row r="35" spans="1:25">
      <c r="A35" s="106"/>
      <c r="B35" s="9"/>
      <c r="C35" s="9"/>
      <c r="D35" s="9"/>
      <c r="E35" s="9"/>
      <c r="G35" s="116"/>
      <c r="H35" s="3" t="str">
        <f t="shared" si="11"/>
        <v/>
      </c>
      <c r="I35" s="3" t="str">
        <f t="shared" si="13"/>
        <v/>
      </c>
      <c r="J35" s="3" t="str">
        <f t="shared" si="2"/>
        <v/>
      </c>
      <c r="K35" s="3" t="str">
        <f>IF(G35="","",$E$19-SUM($H$10:H35))</f>
        <v/>
      </c>
      <c r="M35" s="30"/>
      <c r="Q35" s="2" t="str">
        <f t="shared" si="9"/>
        <v/>
      </c>
      <c r="R35" s="3" t="str">
        <f t="shared" si="12"/>
        <v/>
      </c>
      <c r="S35" s="3" t="str">
        <f t="shared" si="3"/>
        <v/>
      </c>
      <c r="W35" s="78"/>
      <c r="X35" s="43"/>
      <c r="Y35" s="33"/>
    </row>
    <row r="36" spans="1:25">
      <c r="A36" s="106"/>
      <c r="B36" s="9"/>
      <c r="C36" s="9"/>
      <c r="D36" s="9"/>
      <c r="E36" s="9"/>
      <c r="F36" s="9"/>
      <c r="G36" s="116"/>
      <c r="H36" s="3" t="str">
        <f t="shared" si="11"/>
        <v/>
      </c>
      <c r="I36" s="3" t="str">
        <f t="shared" si="13"/>
        <v/>
      </c>
      <c r="J36" s="3" t="str">
        <f t="shared" si="2"/>
        <v/>
      </c>
      <c r="K36" s="3" t="str">
        <f>IF(G36="","",$E$19-SUM($H$10:H36))</f>
        <v/>
      </c>
      <c r="M36" s="30"/>
      <c r="Q36" s="2" t="str">
        <f t="shared" si="9"/>
        <v/>
      </c>
      <c r="R36" s="3" t="str">
        <f t="shared" si="12"/>
        <v/>
      </c>
      <c r="S36" s="3" t="str">
        <f t="shared" si="3"/>
        <v/>
      </c>
      <c r="W36" s="78"/>
      <c r="X36" s="43"/>
      <c r="Y36" s="33"/>
    </row>
    <row r="37" spans="1:25">
      <c r="A37" s="106"/>
      <c r="B37" s="9"/>
      <c r="C37" s="9"/>
      <c r="D37" s="9"/>
      <c r="E37" s="9"/>
      <c r="F37" s="9"/>
      <c r="G37" s="116"/>
      <c r="H37" s="3" t="str">
        <f t="shared" si="11"/>
        <v/>
      </c>
      <c r="I37" s="3" t="str">
        <f t="shared" si="13"/>
        <v/>
      </c>
      <c r="J37" s="3" t="str">
        <f t="shared" si="2"/>
        <v/>
      </c>
      <c r="K37" s="3" t="str">
        <f>IF(G37="","",$E$19-SUM($H$10:H37))</f>
        <v/>
      </c>
      <c r="M37" s="30"/>
      <c r="Q37" s="2" t="str">
        <f t="shared" si="9"/>
        <v/>
      </c>
      <c r="R37" s="3" t="str">
        <f t="shared" si="12"/>
        <v/>
      </c>
      <c r="S37" s="3" t="str">
        <f t="shared" si="3"/>
        <v/>
      </c>
      <c r="W37" s="78"/>
      <c r="X37" s="43"/>
      <c r="Y37" s="33"/>
    </row>
    <row r="38" spans="1:25">
      <c r="A38" s="106"/>
      <c r="B38" s="107"/>
      <c r="C38" s="9"/>
      <c r="D38" s="9"/>
      <c r="E38" s="9"/>
      <c r="F38" s="9"/>
      <c r="G38" s="116"/>
      <c r="H38" s="3" t="str">
        <f t="shared" si="11"/>
        <v/>
      </c>
      <c r="I38" s="3" t="str">
        <f t="shared" si="13"/>
        <v/>
      </c>
      <c r="J38" s="3" t="str">
        <f t="shared" si="2"/>
        <v/>
      </c>
      <c r="K38" s="3" t="str">
        <f>IF(G38="","",$E$19-SUM($H$10:H38))</f>
        <v/>
      </c>
      <c r="M38" s="30"/>
      <c r="Q38" s="2" t="str">
        <f t="shared" si="9"/>
        <v/>
      </c>
      <c r="R38" s="3" t="str">
        <f t="shared" si="12"/>
        <v/>
      </c>
      <c r="S38" s="3" t="str">
        <f t="shared" si="3"/>
        <v/>
      </c>
      <c r="W38" s="78"/>
      <c r="X38" s="43"/>
      <c r="Y38" s="33"/>
    </row>
    <row r="39" spans="1:25">
      <c r="A39" s="106"/>
      <c r="B39" s="107"/>
      <c r="C39" s="9"/>
      <c r="D39" s="9"/>
      <c r="E39" s="9"/>
      <c r="F39" s="9"/>
      <c r="G39" s="116"/>
      <c r="H39" s="3" t="str">
        <f t="shared" si="11"/>
        <v/>
      </c>
      <c r="I39" s="3" t="str">
        <f t="shared" si="13"/>
        <v/>
      </c>
      <c r="J39" s="3" t="str">
        <f t="shared" si="2"/>
        <v/>
      </c>
      <c r="K39" s="3" t="str">
        <f>IF(G39="","",$E$19-SUM($H$10:H39))</f>
        <v/>
      </c>
      <c r="M39" s="30"/>
      <c r="Q39" s="2" t="str">
        <f t="shared" si="9"/>
        <v/>
      </c>
      <c r="R39" s="3" t="str">
        <f t="shared" si="12"/>
        <v/>
      </c>
      <c r="S39" s="3" t="str">
        <f t="shared" si="3"/>
        <v/>
      </c>
      <c r="W39" s="78"/>
      <c r="X39" s="43"/>
      <c r="Y39" s="33"/>
    </row>
    <row r="40" spans="1:25" ht="15" customHeight="1">
      <c r="A40" s="106"/>
      <c r="B40" s="9"/>
      <c r="C40" s="9"/>
      <c r="D40" s="9"/>
      <c r="E40" s="9"/>
      <c r="F40" s="9"/>
      <c r="G40" s="116"/>
      <c r="H40" s="3" t="str">
        <f t="shared" si="11"/>
        <v/>
      </c>
      <c r="I40" s="3" t="str">
        <f t="shared" si="13"/>
        <v/>
      </c>
      <c r="J40" s="3" t="str">
        <f t="shared" si="2"/>
        <v/>
      </c>
      <c r="K40" s="3" t="str">
        <f>IF(G40="","",$E$19-SUM($H$10:H40))</f>
        <v/>
      </c>
      <c r="M40" s="30"/>
      <c r="Q40" s="2" t="str">
        <f t="shared" si="9"/>
        <v/>
      </c>
      <c r="R40" s="3" t="str">
        <f t="shared" si="12"/>
        <v/>
      </c>
      <c r="S40" s="3" t="str">
        <f t="shared" si="3"/>
        <v/>
      </c>
      <c r="W40" s="78"/>
      <c r="X40" s="43"/>
      <c r="Y40" s="33"/>
    </row>
    <row r="41" spans="1:25">
      <c r="A41" s="106"/>
      <c r="B41" s="9"/>
      <c r="C41" s="9"/>
      <c r="D41" s="9"/>
      <c r="E41" s="9"/>
      <c r="F41" s="9"/>
      <c r="G41" s="116"/>
      <c r="H41" s="3" t="str">
        <f t="shared" si="11"/>
        <v/>
      </c>
      <c r="I41" s="3" t="str">
        <f t="shared" si="13"/>
        <v/>
      </c>
      <c r="J41" s="3" t="str">
        <f t="shared" si="2"/>
        <v/>
      </c>
      <c r="K41" s="3" t="str">
        <f>IF(G41="","",$E$19-SUM($H$10:H41))</f>
        <v/>
      </c>
      <c r="M41" s="30"/>
      <c r="Q41" s="2" t="str">
        <f t="shared" si="9"/>
        <v/>
      </c>
      <c r="R41" s="3" t="str">
        <f t="shared" si="12"/>
        <v/>
      </c>
      <c r="S41" s="3" t="str">
        <f t="shared" si="3"/>
        <v/>
      </c>
      <c r="W41" s="78"/>
      <c r="X41" s="43"/>
      <c r="Y41" s="33"/>
    </row>
    <row r="42" spans="1:25">
      <c r="A42" s="106"/>
      <c r="B42" s="9"/>
      <c r="C42" s="9"/>
      <c r="D42" s="9"/>
      <c r="E42" s="9"/>
      <c r="F42" s="9"/>
      <c r="G42" s="116"/>
      <c r="H42" s="3" t="str">
        <f t="shared" si="11"/>
        <v/>
      </c>
      <c r="I42" s="3" t="str">
        <f t="shared" si="13"/>
        <v/>
      </c>
      <c r="J42" s="3" t="str">
        <f t="shared" si="2"/>
        <v/>
      </c>
      <c r="K42" s="3" t="str">
        <f>IF(G42="","",$E$19-SUM($H$10:H42))</f>
        <v/>
      </c>
      <c r="M42" s="30"/>
      <c r="Q42" s="2" t="str">
        <f t="shared" si="9"/>
        <v/>
      </c>
      <c r="R42" s="3" t="str">
        <f t="shared" si="12"/>
        <v/>
      </c>
      <c r="S42" s="3" t="str">
        <f t="shared" si="3"/>
        <v/>
      </c>
      <c r="W42" s="78"/>
      <c r="X42" s="43"/>
      <c r="Y42" s="33"/>
    </row>
    <row r="43" spans="1:25">
      <c r="A43" s="106"/>
      <c r="B43" s="9"/>
      <c r="C43" s="9"/>
      <c r="D43" s="9"/>
      <c r="E43" s="9"/>
      <c r="F43" s="9"/>
      <c r="G43" s="116"/>
      <c r="H43" s="3" t="str">
        <f t="shared" si="11"/>
        <v/>
      </c>
      <c r="I43" s="3" t="str">
        <f t="shared" si="13"/>
        <v/>
      </c>
      <c r="J43" s="3" t="str">
        <f t="shared" si="2"/>
        <v/>
      </c>
      <c r="K43" s="3" t="str">
        <f>IF(G43="","",$E$19-SUM($H$10:H43))</f>
        <v/>
      </c>
      <c r="M43" s="30"/>
      <c r="Q43" s="2" t="str">
        <f t="shared" si="9"/>
        <v/>
      </c>
      <c r="R43" s="3" t="str">
        <f t="shared" si="12"/>
        <v/>
      </c>
      <c r="S43" s="3" t="str">
        <f t="shared" ref="S43:S70" si="14">IF(A43="","",Q43*R43)</f>
        <v/>
      </c>
      <c r="W43" s="78"/>
      <c r="X43" s="43"/>
      <c r="Y43" s="33"/>
    </row>
    <row r="44" spans="1:25">
      <c r="A44" s="106"/>
      <c r="B44" s="9"/>
      <c r="C44" s="9"/>
      <c r="D44" s="9"/>
      <c r="E44" s="9"/>
      <c r="F44" s="9"/>
      <c r="G44" s="116"/>
      <c r="H44" s="3" t="str">
        <f t="shared" si="11"/>
        <v/>
      </c>
      <c r="I44" s="3" t="str">
        <f t="shared" si="13"/>
        <v/>
      </c>
      <c r="J44" s="3" t="str">
        <f t="shared" si="2"/>
        <v/>
      </c>
      <c r="K44" s="3" t="str">
        <f>IF(G44="","",$E$19-SUM($H$10:H44))</f>
        <v/>
      </c>
      <c r="M44" s="30"/>
      <c r="Q44" s="2" t="str">
        <f t="shared" si="9"/>
        <v/>
      </c>
      <c r="R44" s="3" t="str">
        <f t="shared" si="12"/>
        <v/>
      </c>
      <c r="S44" s="3" t="str">
        <f t="shared" si="14"/>
        <v/>
      </c>
      <c r="W44" s="78"/>
      <c r="X44" s="43"/>
      <c r="Y44" s="33"/>
    </row>
    <row r="45" spans="1:25">
      <c r="A45" s="106"/>
      <c r="B45" s="9"/>
      <c r="C45" s="9"/>
      <c r="D45" s="9"/>
      <c r="E45" s="9"/>
      <c r="F45" s="9"/>
      <c r="G45" s="116"/>
      <c r="H45" s="3" t="str">
        <f t="shared" si="11"/>
        <v/>
      </c>
      <c r="I45" s="3" t="str">
        <f t="shared" si="13"/>
        <v/>
      </c>
      <c r="J45" s="3" t="str">
        <f t="shared" si="2"/>
        <v/>
      </c>
      <c r="K45" s="3" t="str">
        <f>IF(G45="","",$E$19-SUM($H$10:H45))</f>
        <v/>
      </c>
      <c r="M45" s="30"/>
      <c r="Q45" s="2" t="str">
        <f t="shared" si="9"/>
        <v/>
      </c>
      <c r="R45" s="3" t="str">
        <f t="shared" si="12"/>
        <v/>
      </c>
      <c r="S45" s="3" t="str">
        <f t="shared" si="14"/>
        <v/>
      </c>
      <c r="W45" s="78"/>
      <c r="X45" s="43"/>
      <c r="Y45" s="33"/>
    </row>
    <row r="46" spans="1:25">
      <c r="A46" s="106"/>
      <c r="B46" s="9"/>
      <c r="C46" s="9"/>
      <c r="D46" s="9"/>
      <c r="E46" s="9"/>
      <c r="F46" s="9"/>
      <c r="G46" s="116"/>
      <c r="H46" s="3" t="str">
        <f t="shared" si="11"/>
        <v/>
      </c>
      <c r="I46" s="3" t="str">
        <f t="shared" si="13"/>
        <v/>
      </c>
      <c r="J46" s="3" t="str">
        <f t="shared" si="2"/>
        <v/>
      </c>
      <c r="K46" s="3" t="str">
        <f>IF(G46="","",$E$19-SUM($H$10:H46))</f>
        <v/>
      </c>
      <c r="M46" s="15"/>
      <c r="Q46" s="2" t="str">
        <f t="shared" si="9"/>
        <v/>
      </c>
      <c r="R46" s="3" t="str">
        <f t="shared" si="12"/>
        <v/>
      </c>
      <c r="S46" s="3" t="str">
        <f t="shared" si="14"/>
        <v/>
      </c>
      <c r="W46" s="78"/>
      <c r="X46" s="43"/>
      <c r="Y46" s="33"/>
    </row>
    <row r="47" spans="1:25">
      <c r="A47" s="106"/>
      <c r="B47" s="9"/>
      <c r="C47" s="9"/>
      <c r="D47" s="9"/>
      <c r="E47" s="9"/>
      <c r="F47" s="9"/>
      <c r="G47" s="116"/>
      <c r="H47" s="3" t="str">
        <f t="shared" si="11"/>
        <v/>
      </c>
      <c r="I47" s="3" t="str">
        <f t="shared" si="13"/>
        <v/>
      </c>
      <c r="J47" s="3" t="str">
        <f t="shared" si="2"/>
        <v/>
      </c>
      <c r="K47" s="3" t="str">
        <f>IF(G47="","",$E$19-SUM($H$10:H47))</f>
        <v/>
      </c>
      <c r="M47" s="3"/>
      <c r="O47" s="3"/>
      <c r="Q47" s="2" t="str">
        <f t="shared" si="9"/>
        <v/>
      </c>
      <c r="R47" s="3" t="str">
        <f t="shared" si="12"/>
        <v/>
      </c>
      <c r="S47" s="3" t="str">
        <f t="shared" si="14"/>
        <v/>
      </c>
      <c r="W47" s="78"/>
      <c r="X47" s="43"/>
      <c r="Y47" s="33"/>
    </row>
    <row r="48" spans="1:25">
      <c r="A48" s="106"/>
      <c r="B48" s="9"/>
      <c r="C48" s="9"/>
      <c r="D48" s="9"/>
      <c r="E48" s="9"/>
      <c r="F48" s="9"/>
      <c r="G48" s="116"/>
      <c r="H48" s="3" t="str">
        <f t="shared" si="11"/>
        <v/>
      </c>
      <c r="I48" s="3" t="str">
        <f t="shared" si="13"/>
        <v/>
      </c>
      <c r="J48" s="3" t="str">
        <f t="shared" si="2"/>
        <v/>
      </c>
      <c r="K48" s="3" t="str">
        <f>IF(G48="","",$E$19-SUM($H$10:H48))</f>
        <v/>
      </c>
      <c r="M48" s="3"/>
      <c r="O48" s="3"/>
      <c r="Q48" s="2" t="str">
        <f t="shared" si="9"/>
        <v/>
      </c>
      <c r="R48" s="3" t="str">
        <f t="shared" si="12"/>
        <v/>
      </c>
      <c r="S48" s="3" t="str">
        <f t="shared" si="14"/>
        <v/>
      </c>
      <c r="W48" s="78"/>
      <c r="X48" s="43"/>
      <c r="Y48" s="33"/>
    </row>
    <row r="49" spans="1:25">
      <c r="A49" s="106"/>
      <c r="B49" s="9"/>
      <c r="C49" s="9"/>
      <c r="D49" s="9"/>
      <c r="E49" s="9"/>
      <c r="F49" s="9"/>
      <c r="G49" s="116"/>
      <c r="H49" s="3" t="str">
        <f t="shared" si="11"/>
        <v/>
      </c>
      <c r="I49" s="3" t="str">
        <f t="shared" si="13"/>
        <v/>
      </c>
      <c r="J49" s="3" t="str">
        <f t="shared" si="2"/>
        <v/>
      </c>
      <c r="K49" s="3" t="str">
        <f>IF(G49="","",$E$19-SUM($H$10:H49))</f>
        <v/>
      </c>
      <c r="M49" s="3"/>
      <c r="O49" s="3"/>
      <c r="Q49" s="2" t="str">
        <f t="shared" si="9"/>
        <v/>
      </c>
      <c r="R49" s="3" t="str">
        <f t="shared" si="12"/>
        <v/>
      </c>
      <c r="S49" s="3" t="str">
        <f t="shared" si="14"/>
        <v/>
      </c>
      <c r="W49" s="78"/>
      <c r="X49" s="43"/>
      <c r="Y49" s="33"/>
    </row>
    <row r="50" spans="1:25">
      <c r="A50" s="106"/>
      <c r="B50" s="9"/>
      <c r="C50" s="9"/>
      <c r="D50" s="9"/>
      <c r="E50" s="9"/>
      <c r="F50" s="9"/>
      <c r="G50" s="116"/>
      <c r="H50" s="3" t="str">
        <f t="shared" si="11"/>
        <v/>
      </c>
      <c r="I50" s="3" t="str">
        <f t="shared" si="13"/>
        <v/>
      </c>
      <c r="J50" s="3" t="str">
        <f t="shared" si="2"/>
        <v/>
      </c>
      <c r="K50" s="3" t="str">
        <f>IF(G50="","",$E$19-SUM($H$10:H50))</f>
        <v/>
      </c>
      <c r="M50" s="3"/>
      <c r="O50" s="3"/>
      <c r="Q50" s="2" t="str">
        <f t="shared" si="9"/>
        <v/>
      </c>
      <c r="R50" s="3" t="str">
        <f t="shared" si="12"/>
        <v/>
      </c>
      <c r="S50" s="3" t="str">
        <f t="shared" si="14"/>
        <v/>
      </c>
      <c r="W50" s="78"/>
      <c r="X50" s="43"/>
      <c r="Y50" s="33"/>
    </row>
    <row r="51" spans="1:25">
      <c r="A51" s="106"/>
      <c r="B51" s="9"/>
      <c r="C51" s="9"/>
      <c r="D51" s="9"/>
      <c r="E51" s="9"/>
      <c r="F51" s="9"/>
      <c r="G51" s="116"/>
      <c r="H51" s="3" t="str">
        <f t="shared" si="11"/>
        <v/>
      </c>
      <c r="I51" s="3" t="str">
        <f t="shared" si="13"/>
        <v/>
      </c>
      <c r="J51" s="3" t="str">
        <f t="shared" si="2"/>
        <v/>
      </c>
      <c r="K51" s="3" t="str">
        <f>IF(G51="","",$E$19-SUM($H$10:H51))</f>
        <v/>
      </c>
      <c r="M51" s="3"/>
      <c r="O51" s="3"/>
      <c r="Q51" s="2" t="str">
        <f t="shared" si="9"/>
        <v/>
      </c>
      <c r="R51" s="3" t="str">
        <f t="shared" si="12"/>
        <v/>
      </c>
      <c r="S51" s="3" t="str">
        <f t="shared" si="14"/>
        <v/>
      </c>
      <c r="W51" s="78"/>
      <c r="X51" s="43"/>
      <c r="Y51" s="33"/>
    </row>
    <row r="52" spans="1:25">
      <c r="A52" s="106"/>
      <c r="B52" s="9"/>
      <c r="C52" s="9"/>
      <c r="D52" s="9"/>
      <c r="E52" s="9"/>
      <c r="F52" s="9"/>
      <c r="G52" s="116"/>
      <c r="H52" s="3" t="str">
        <f t="shared" si="11"/>
        <v/>
      </c>
      <c r="I52" s="3" t="str">
        <f t="shared" si="13"/>
        <v/>
      </c>
      <c r="J52" s="3" t="str">
        <f t="shared" si="2"/>
        <v/>
      </c>
      <c r="K52" s="3" t="str">
        <f>IF(G52="","",$E$19-SUM($H$10:H52))</f>
        <v/>
      </c>
      <c r="M52" s="3"/>
      <c r="O52" s="3"/>
      <c r="Q52" s="2" t="str">
        <f t="shared" si="9"/>
        <v/>
      </c>
      <c r="R52" s="3" t="str">
        <f t="shared" si="12"/>
        <v/>
      </c>
      <c r="S52" s="3" t="str">
        <f t="shared" si="14"/>
        <v/>
      </c>
      <c r="W52" s="79"/>
      <c r="X52" s="43"/>
      <c r="Y52" s="33"/>
    </row>
    <row r="53" spans="1:25">
      <c r="A53" s="106"/>
      <c r="B53" s="9"/>
      <c r="C53" s="9"/>
      <c r="D53" s="9"/>
      <c r="E53" s="9"/>
      <c r="F53" s="9"/>
      <c r="G53" s="116"/>
      <c r="H53" s="3" t="str">
        <f t="shared" si="11"/>
        <v/>
      </c>
      <c r="I53" s="3" t="str">
        <f t="shared" si="13"/>
        <v/>
      </c>
      <c r="J53" s="3" t="str">
        <f t="shared" si="2"/>
        <v/>
      </c>
      <c r="K53" s="3" t="str">
        <f>IF(G53="","",$E$19-SUM($H$10:H53))</f>
        <v/>
      </c>
      <c r="M53" s="3"/>
      <c r="O53" s="3"/>
      <c r="Q53" s="2" t="str">
        <f t="shared" si="9"/>
        <v/>
      </c>
      <c r="R53" s="3" t="str">
        <f t="shared" si="12"/>
        <v/>
      </c>
      <c r="S53" s="3" t="str">
        <f t="shared" si="14"/>
        <v/>
      </c>
      <c r="W53" s="79"/>
      <c r="X53" s="43"/>
      <c r="Y53" s="33"/>
    </row>
    <row r="54" spans="1:25">
      <c r="A54" s="106"/>
      <c r="B54" s="9"/>
      <c r="C54" s="9"/>
      <c r="D54" s="9"/>
      <c r="E54" s="9"/>
      <c r="F54" s="9"/>
      <c r="G54" s="116"/>
      <c r="H54" s="3" t="str">
        <f t="shared" si="11"/>
        <v/>
      </c>
      <c r="I54" s="3" t="str">
        <f t="shared" si="13"/>
        <v/>
      </c>
      <c r="J54" s="3" t="str">
        <f t="shared" si="2"/>
        <v/>
      </c>
      <c r="K54" s="3" t="str">
        <f>IF(G54="","",$E$19-SUM($H$10:H54))</f>
        <v/>
      </c>
      <c r="M54" s="3"/>
      <c r="O54" s="3"/>
      <c r="Q54" s="2" t="str">
        <f t="shared" ref="Q54:Q70" si="15">+IF(G54="","",G54-$E$16)</f>
        <v/>
      </c>
      <c r="R54" s="3" t="str">
        <f t="shared" ref="R54:R70" si="16">IF(G54="","",J54/(1+$E$22)^(Q54/365))</f>
        <v/>
      </c>
      <c r="S54" s="3" t="str">
        <f t="shared" si="14"/>
        <v/>
      </c>
      <c r="W54" s="79"/>
      <c r="X54" s="43"/>
      <c r="Y54" s="33"/>
    </row>
    <row r="55" spans="1:25">
      <c r="A55" s="106"/>
      <c r="B55" s="9"/>
      <c r="C55" s="9"/>
      <c r="D55" s="9"/>
      <c r="E55" s="9"/>
      <c r="F55" s="9"/>
      <c r="G55" s="116"/>
      <c r="H55" s="3" t="str">
        <f t="shared" si="11"/>
        <v/>
      </c>
      <c r="I55" s="3" t="str">
        <f t="shared" si="13"/>
        <v/>
      </c>
      <c r="J55" s="3" t="str">
        <f t="shared" si="2"/>
        <v/>
      </c>
      <c r="K55" s="3" t="str">
        <f>IF(G55="","",$E$19-SUM($H$10:H55))</f>
        <v/>
      </c>
      <c r="M55" s="3"/>
      <c r="O55" s="3"/>
      <c r="Q55" s="2" t="str">
        <f t="shared" si="15"/>
        <v/>
      </c>
      <c r="R55" s="3" t="str">
        <f t="shared" si="16"/>
        <v/>
      </c>
      <c r="S55" s="3" t="str">
        <f t="shared" si="14"/>
        <v/>
      </c>
      <c r="W55" s="79"/>
      <c r="X55" s="43"/>
      <c r="Y55" s="33"/>
    </row>
    <row r="56" spans="1:25">
      <c r="A56" s="106"/>
      <c r="B56" s="9"/>
      <c r="C56" s="9"/>
      <c r="D56" s="9"/>
      <c r="E56" s="9"/>
      <c r="F56" s="9"/>
      <c r="G56" s="116"/>
      <c r="H56" s="3" t="str">
        <f t="shared" si="11"/>
        <v/>
      </c>
      <c r="I56" s="3" t="str">
        <f t="shared" si="13"/>
        <v/>
      </c>
      <c r="J56" s="3" t="str">
        <f t="shared" si="2"/>
        <v/>
      </c>
      <c r="K56" s="3" t="str">
        <f>IF(G56="","",$E$19-SUM($H$10:H56))</f>
        <v/>
      </c>
      <c r="M56" s="3"/>
      <c r="O56" s="3"/>
      <c r="Q56" s="2" t="str">
        <f t="shared" si="15"/>
        <v/>
      </c>
      <c r="R56" s="3" t="str">
        <f t="shared" si="16"/>
        <v/>
      </c>
      <c r="S56" s="3" t="str">
        <f t="shared" si="14"/>
        <v/>
      </c>
      <c r="W56" s="79"/>
      <c r="X56" s="43"/>
      <c r="Y56" s="33"/>
    </row>
    <row r="57" spans="1:25">
      <c r="A57" s="106"/>
      <c r="B57" s="9"/>
      <c r="C57" s="9"/>
      <c r="D57" s="9"/>
      <c r="E57" s="9"/>
      <c r="F57" s="9"/>
      <c r="G57" s="116"/>
      <c r="H57" s="3" t="str">
        <f t="shared" si="11"/>
        <v/>
      </c>
      <c r="I57" s="3" t="str">
        <f t="shared" si="13"/>
        <v/>
      </c>
      <c r="J57" s="3" t="str">
        <f t="shared" si="2"/>
        <v/>
      </c>
      <c r="K57" s="3" t="str">
        <f>IF(G57="","",$E$19-SUM($H$10:H57))</f>
        <v/>
      </c>
      <c r="M57" s="3"/>
      <c r="O57" s="3"/>
      <c r="Q57" s="2" t="str">
        <f t="shared" si="15"/>
        <v/>
      </c>
      <c r="R57" s="3" t="str">
        <f t="shared" si="16"/>
        <v/>
      </c>
      <c r="S57" s="3" t="str">
        <f t="shared" si="14"/>
        <v/>
      </c>
      <c r="W57" s="79"/>
      <c r="X57" s="43"/>
      <c r="Y57" s="33"/>
    </row>
    <row r="58" spans="1:25">
      <c r="A58" s="106"/>
      <c r="B58" s="9"/>
      <c r="C58" s="9"/>
      <c r="D58" s="9"/>
      <c r="E58" s="9"/>
      <c r="F58" s="9"/>
      <c r="G58" s="116"/>
      <c r="H58" s="3" t="str">
        <f t="shared" si="11"/>
        <v/>
      </c>
      <c r="I58" s="3" t="str">
        <f t="shared" si="13"/>
        <v/>
      </c>
      <c r="J58" s="3" t="str">
        <f t="shared" si="2"/>
        <v/>
      </c>
      <c r="K58" s="3" t="str">
        <f>IF(G58="","",$E$19-SUM($H$10:H58))</f>
        <v/>
      </c>
      <c r="M58" s="3"/>
      <c r="O58" s="3"/>
      <c r="Q58" s="2" t="str">
        <f t="shared" si="15"/>
        <v/>
      </c>
      <c r="R58" s="3" t="str">
        <f t="shared" si="16"/>
        <v/>
      </c>
      <c r="S58" s="3" t="str">
        <f t="shared" si="14"/>
        <v/>
      </c>
      <c r="W58" s="79"/>
      <c r="X58" s="43"/>
      <c r="Y58" s="33"/>
    </row>
    <row r="59" spans="1:25">
      <c r="A59" s="106"/>
      <c r="B59" s="9"/>
      <c r="C59" s="9"/>
      <c r="D59" s="9"/>
      <c r="E59" s="9"/>
      <c r="F59" s="9"/>
      <c r="G59" s="116"/>
      <c r="H59" s="3" t="str">
        <f t="shared" si="11"/>
        <v/>
      </c>
      <c r="I59" s="3" t="str">
        <f t="shared" si="13"/>
        <v/>
      </c>
      <c r="J59" s="3" t="str">
        <f t="shared" si="2"/>
        <v/>
      </c>
      <c r="K59" s="3" t="str">
        <f>IF(G59="","",$E$19-SUM($H$10:H59))</f>
        <v/>
      </c>
      <c r="M59" s="3"/>
      <c r="O59" s="3"/>
      <c r="Q59" s="2" t="str">
        <f t="shared" si="15"/>
        <v/>
      </c>
      <c r="R59" s="3" t="str">
        <f t="shared" si="16"/>
        <v/>
      </c>
      <c r="S59" s="3" t="str">
        <f t="shared" si="14"/>
        <v/>
      </c>
      <c r="W59" s="79"/>
      <c r="X59" s="43"/>
      <c r="Y59" s="33"/>
    </row>
    <row r="60" spans="1:25">
      <c r="A60" s="106"/>
      <c r="B60" s="9"/>
      <c r="C60" s="9"/>
      <c r="D60" s="9"/>
      <c r="E60" s="9"/>
      <c r="F60" s="9"/>
      <c r="G60" s="116"/>
      <c r="H60" s="3" t="str">
        <f t="shared" si="11"/>
        <v/>
      </c>
      <c r="I60" s="3" t="str">
        <f t="shared" si="13"/>
        <v/>
      </c>
      <c r="J60" s="3" t="str">
        <f t="shared" si="2"/>
        <v/>
      </c>
      <c r="K60" s="3" t="str">
        <f>IF(G60="","",$E$19-SUM($H$10:H60))</f>
        <v/>
      </c>
      <c r="M60" s="3"/>
      <c r="O60" s="3"/>
      <c r="Q60" s="2" t="str">
        <f t="shared" si="15"/>
        <v/>
      </c>
      <c r="R60" s="3" t="str">
        <f t="shared" si="16"/>
        <v/>
      </c>
      <c r="S60" s="3" t="str">
        <f t="shared" si="14"/>
        <v/>
      </c>
      <c r="W60" s="79"/>
      <c r="X60" s="43"/>
      <c r="Y60" s="33"/>
    </row>
    <row r="61" spans="1:25">
      <c r="A61" s="106"/>
      <c r="B61" s="9"/>
      <c r="C61" s="9"/>
      <c r="D61" s="9"/>
      <c r="E61" s="9"/>
      <c r="F61" s="9"/>
      <c r="G61" s="116"/>
      <c r="H61" s="3" t="str">
        <f t="shared" si="11"/>
        <v/>
      </c>
      <c r="I61" s="3" t="str">
        <f t="shared" si="13"/>
        <v/>
      </c>
      <c r="J61" s="3" t="str">
        <f t="shared" si="2"/>
        <v/>
      </c>
      <c r="K61" s="3" t="str">
        <f>IF(G61="","",$E$19-SUM($H$10:H61))</f>
        <v/>
      </c>
      <c r="M61" s="3"/>
      <c r="O61" s="3"/>
      <c r="Q61" s="2" t="str">
        <f t="shared" si="15"/>
        <v/>
      </c>
      <c r="R61" s="3" t="str">
        <f t="shared" si="16"/>
        <v/>
      </c>
      <c r="S61" s="3" t="str">
        <f t="shared" si="14"/>
        <v/>
      </c>
      <c r="W61" s="79"/>
      <c r="X61" s="43"/>
      <c r="Y61" s="33"/>
    </row>
    <row r="62" spans="1:25">
      <c r="A62" s="106"/>
      <c r="B62" s="9"/>
      <c r="C62" s="9"/>
      <c r="D62" s="9"/>
      <c r="E62" s="9"/>
      <c r="F62" s="9"/>
      <c r="G62" s="116"/>
      <c r="H62" s="3" t="str">
        <f t="shared" si="11"/>
        <v/>
      </c>
      <c r="I62" s="3" t="str">
        <f t="shared" si="13"/>
        <v/>
      </c>
      <c r="J62" s="3" t="str">
        <f t="shared" si="2"/>
        <v/>
      </c>
      <c r="K62" s="3" t="str">
        <f>IF(G62="","",$E$19-SUM($H$10:H62))</f>
        <v/>
      </c>
      <c r="M62" s="3"/>
      <c r="O62" s="3"/>
      <c r="Q62" s="2" t="str">
        <f t="shared" si="15"/>
        <v/>
      </c>
      <c r="R62" s="3" t="str">
        <f t="shared" si="16"/>
        <v/>
      </c>
      <c r="S62" s="3" t="str">
        <f t="shared" si="14"/>
        <v/>
      </c>
      <c r="W62" s="80"/>
      <c r="X62" s="43"/>
      <c r="Y62" s="33"/>
    </row>
    <row r="63" spans="1:25">
      <c r="A63" s="106"/>
      <c r="B63" s="9"/>
      <c r="C63" s="9"/>
      <c r="D63" s="9"/>
      <c r="E63" s="9"/>
      <c r="F63" s="9"/>
      <c r="G63" s="116"/>
      <c r="H63" s="3" t="str">
        <f t="shared" si="11"/>
        <v/>
      </c>
      <c r="I63" s="3" t="str">
        <f t="shared" si="13"/>
        <v/>
      </c>
      <c r="J63" s="3" t="str">
        <f t="shared" si="2"/>
        <v/>
      </c>
      <c r="K63" s="3" t="str">
        <f>IF(G63="","",$E$19-SUM($H$10:H63))</f>
        <v/>
      </c>
      <c r="M63" s="3"/>
      <c r="O63" s="3"/>
      <c r="Q63" s="2" t="str">
        <f t="shared" si="15"/>
        <v/>
      </c>
      <c r="R63" s="3" t="str">
        <f t="shared" si="16"/>
        <v/>
      </c>
      <c r="S63" s="3" t="str">
        <f t="shared" si="14"/>
        <v/>
      </c>
      <c r="W63" s="81"/>
      <c r="X63" s="43"/>
      <c r="Y63" s="33"/>
    </row>
    <row r="64" spans="1:25">
      <c r="A64" s="106"/>
      <c r="B64" s="9"/>
      <c r="C64" s="9"/>
      <c r="D64" s="9"/>
      <c r="E64" s="9"/>
      <c r="F64" s="9"/>
      <c r="G64" s="116"/>
      <c r="H64" s="3" t="str">
        <f t="shared" si="11"/>
        <v/>
      </c>
      <c r="I64" s="3" t="str">
        <f t="shared" si="13"/>
        <v/>
      </c>
      <c r="J64" s="3" t="str">
        <f t="shared" si="2"/>
        <v/>
      </c>
      <c r="K64" s="3" t="str">
        <f>IF(G64="","",$E$19-SUM($H$10:H64))</f>
        <v/>
      </c>
      <c r="M64" s="3"/>
      <c r="O64" s="3"/>
      <c r="Q64" s="2" t="str">
        <f t="shared" si="15"/>
        <v/>
      </c>
      <c r="R64" s="3" t="str">
        <f t="shared" si="16"/>
        <v/>
      </c>
      <c r="S64" s="3" t="str">
        <f t="shared" si="14"/>
        <v/>
      </c>
      <c r="W64" s="73"/>
      <c r="X64" s="43"/>
      <c r="Y64" s="33"/>
    </row>
    <row r="65" spans="1:25">
      <c r="A65" s="106"/>
      <c r="B65" s="9"/>
      <c r="C65" s="9"/>
      <c r="D65" s="9"/>
      <c r="E65" s="9"/>
      <c r="F65" s="9"/>
      <c r="G65" s="116"/>
      <c r="H65" s="3" t="str">
        <f t="shared" si="11"/>
        <v/>
      </c>
      <c r="I65" s="3" t="str">
        <f t="shared" si="13"/>
        <v/>
      </c>
      <c r="J65" s="3" t="str">
        <f t="shared" si="2"/>
        <v/>
      </c>
      <c r="K65" s="3" t="str">
        <f>IF(G65="","",$E$19-SUM($H$10:H65))</f>
        <v/>
      </c>
      <c r="M65" s="3"/>
      <c r="O65" s="3"/>
      <c r="Q65" s="2" t="str">
        <f t="shared" si="15"/>
        <v/>
      </c>
      <c r="R65" s="3" t="str">
        <f t="shared" si="16"/>
        <v/>
      </c>
      <c r="S65" s="3" t="str">
        <f t="shared" si="14"/>
        <v/>
      </c>
      <c r="W65" s="73"/>
      <c r="X65" s="43"/>
      <c r="Y65" s="33"/>
    </row>
    <row r="66" spans="1:25">
      <c r="A66" s="106"/>
      <c r="B66" s="9"/>
      <c r="C66" s="9"/>
      <c r="D66" s="9"/>
      <c r="E66" s="9"/>
      <c r="F66" s="9"/>
      <c r="G66" s="116"/>
      <c r="H66" s="3" t="str">
        <f t="shared" si="11"/>
        <v/>
      </c>
      <c r="I66" s="3" t="str">
        <f t="shared" si="13"/>
        <v/>
      </c>
      <c r="J66" s="3" t="str">
        <f t="shared" si="2"/>
        <v/>
      </c>
      <c r="K66" s="3" t="str">
        <f>IF(G66="","",$E$19-SUM($H$10:H66))</f>
        <v/>
      </c>
      <c r="M66" s="3"/>
      <c r="O66" s="3"/>
      <c r="Q66" s="2" t="str">
        <f t="shared" si="15"/>
        <v/>
      </c>
      <c r="R66" s="3" t="str">
        <f t="shared" si="16"/>
        <v/>
      </c>
      <c r="S66" s="3" t="str">
        <f t="shared" si="14"/>
        <v/>
      </c>
      <c r="W66" s="73"/>
      <c r="X66" s="43"/>
      <c r="Y66" s="33"/>
    </row>
    <row r="67" spans="1:25">
      <c r="A67" s="106"/>
      <c r="B67" s="9"/>
      <c r="C67" s="9"/>
      <c r="D67" s="9"/>
      <c r="E67" s="9"/>
      <c r="F67" s="9"/>
      <c r="G67" s="116"/>
      <c r="H67" s="3" t="str">
        <f t="shared" si="11"/>
        <v/>
      </c>
      <c r="I67" s="3" t="str">
        <f t="shared" si="13"/>
        <v/>
      </c>
      <c r="J67" s="3" t="str">
        <f t="shared" si="2"/>
        <v/>
      </c>
      <c r="K67" s="3" t="str">
        <f>IF(G67="","",$E$19-SUM($H$10:H67))</f>
        <v/>
      </c>
      <c r="M67" s="3"/>
      <c r="O67" s="3"/>
      <c r="Q67" s="2" t="str">
        <f t="shared" si="15"/>
        <v/>
      </c>
      <c r="R67" s="3" t="str">
        <f t="shared" si="16"/>
        <v/>
      </c>
      <c r="S67" s="3" t="str">
        <f t="shared" si="14"/>
        <v/>
      </c>
      <c r="W67" s="73"/>
      <c r="X67" s="43"/>
      <c r="Y67" s="33"/>
    </row>
    <row r="68" spans="1:25">
      <c r="A68" s="106"/>
      <c r="B68" s="9"/>
      <c r="C68" s="9"/>
      <c r="D68" s="9"/>
      <c r="E68" s="9"/>
      <c r="F68" s="9"/>
      <c r="G68" s="116"/>
      <c r="H68" s="3" t="str">
        <f t="shared" si="11"/>
        <v/>
      </c>
      <c r="I68" s="3" t="str">
        <f t="shared" si="13"/>
        <v/>
      </c>
      <c r="J68" s="3" t="str">
        <f t="shared" si="2"/>
        <v/>
      </c>
      <c r="K68" s="3" t="str">
        <f>IF(G68="","",$E$19-SUM($H$10:H68))</f>
        <v/>
      </c>
      <c r="M68" s="3"/>
      <c r="O68" s="3"/>
      <c r="Q68" s="2" t="str">
        <f t="shared" si="15"/>
        <v/>
      </c>
      <c r="R68" s="3" t="str">
        <f t="shared" si="16"/>
        <v/>
      </c>
      <c r="S68" s="3" t="str">
        <f t="shared" si="14"/>
        <v/>
      </c>
      <c r="W68" s="73"/>
      <c r="X68" s="43"/>
      <c r="Y68" s="33"/>
    </row>
    <row r="69" spans="1:25">
      <c r="A69" s="106"/>
      <c r="B69" s="9"/>
      <c r="C69" s="9"/>
      <c r="D69" s="9"/>
      <c r="E69" s="9"/>
      <c r="F69" s="9"/>
      <c r="G69" s="116"/>
      <c r="H69" s="3" t="str">
        <f t="shared" si="11"/>
        <v/>
      </c>
      <c r="I69" s="3" t="str">
        <f t="shared" si="13"/>
        <v/>
      </c>
      <c r="J69" s="3" t="str">
        <f t="shared" si="2"/>
        <v/>
      </c>
      <c r="K69" s="3" t="str">
        <f>IF(G69="","",$E$19-SUM($H$10:H69))</f>
        <v/>
      </c>
      <c r="M69" s="3"/>
      <c r="O69" s="3"/>
      <c r="Q69" s="2" t="str">
        <f t="shared" si="15"/>
        <v/>
      </c>
      <c r="R69" s="3" t="str">
        <f t="shared" si="16"/>
        <v/>
      </c>
      <c r="S69" s="3" t="str">
        <f t="shared" si="14"/>
        <v/>
      </c>
      <c r="W69" s="73"/>
      <c r="X69" s="43"/>
      <c r="Y69" s="33"/>
    </row>
    <row r="70" spans="1:25">
      <c r="A70" s="106"/>
      <c r="B70" s="9"/>
      <c r="C70" s="9"/>
      <c r="D70" s="9"/>
      <c r="E70" s="9"/>
      <c r="F70" s="9"/>
      <c r="G70" s="116"/>
      <c r="H70" s="3" t="str">
        <f t="shared" si="11"/>
        <v/>
      </c>
      <c r="I70" s="3" t="str">
        <f t="shared" si="13"/>
        <v/>
      </c>
      <c r="J70" s="3" t="str">
        <f t="shared" si="2"/>
        <v/>
      </c>
      <c r="K70" s="3" t="str">
        <f>IF(G70="","",$E$19-SUM($H$10:H70))</f>
        <v/>
      </c>
      <c r="M70" s="3"/>
      <c r="O70" s="3"/>
      <c r="Q70" s="2" t="str">
        <f t="shared" si="15"/>
        <v/>
      </c>
      <c r="R70" s="3" t="str">
        <f t="shared" si="16"/>
        <v/>
      </c>
      <c r="S70" s="3" t="str">
        <f t="shared" si="14"/>
        <v/>
      </c>
      <c r="W70" s="73"/>
      <c r="X70" s="43"/>
    </row>
    <row r="71" spans="1:25">
      <c r="A71" s="9"/>
      <c r="C71" s="9"/>
      <c r="D71" s="9"/>
      <c r="E71" s="9"/>
      <c r="F71" s="9"/>
      <c r="M71" s="3"/>
      <c r="O71" s="3"/>
      <c r="Q71" s="2"/>
      <c r="R71" s="3"/>
      <c r="S71" s="3"/>
      <c r="W71" s="73"/>
      <c r="X71" s="43"/>
    </row>
    <row r="72" spans="1:25">
      <c r="A72" s="9"/>
      <c r="C72" s="9"/>
      <c r="D72" s="9"/>
      <c r="E72" s="9"/>
      <c r="F72" s="9"/>
      <c r="G72" s="2"/>
      <c r="H72" s="116"/>
      <c r="I72" s="3"/>
      <c r="J72" s="3"/>
      <c r="K72" s="3"/>
      <c r="L72" s="3"/>
      <c r="M72" s="3"/>
      <c r="O72" s="3"/>
      <c r="Q72" s="2"/>
      <c r="R72" s="3"/>
      <c r="S72" s="3"/>
      <c r="W72" s="73"/>
      <c r="X72" s="43"/>
    </row>
    <row r="73" spans="1:25">
      <c r="A73" s="9"/>
      <c r="C73" s="9"/>
      <c r="D73" s="9"/>
      <c r="E73" s="9"/>
      <c r="F73" s="9"/>
      <c r="G73" s="2"/>
      <c r="H73" s="116"/>
      <c r="I73" s="3"/>
      <c r="J73" s="3"/>
      <c r="K73" s="3"/>
      <c r="L73" s="3"/>
      <c r="M73" s="3"/>
      <c r="O73" s="3"/>
      <c r="Q73" s="2"/>
      <c r="R73" s="3"/>
      <c r="S73" s="3"/>
      <c r="W73" s="73"/>
      <c r="X73" s="44"/>
    </row>
    <row r="74" spans="1:25">
      <c r="A74" s="9"/>
      <c r="C74" s="9"/>
      <c r="D74" s="9"/>
      <c r="E74" s="9"/>
      <c r="F74" s="9"/>
      <c r="G74" s="2"/>
      <c r="H74" s="116"/>
      <c r="I74" s="3"/>
      <c r="J74" s="3"/>
      <c r="K74" s="3"/>
      <c r="L74" s="3"/>
      <c r="M74" s="3"/>
      <c r="O74" s="3"/>
      <c r="Q74" s="2"/>
      <c r="R74" s="3"/>
      <c r="S74" s="3"/>
      <c r="W74" s="73"/>
    </row>
    <row r="75" spans="1:25">
      <c r="A75" s="9"/>
      <c r="C75" s="9"/>
      <c r="D75" s="9"/>
      <c r="E75" s="9"/>
      <c r="F75" s="9"/>
      <c r="G75" s="2"/>
      <c r="H75" s="116"/>
      <c r="I75" s="3"/>
      <c r="J75" s="3"/>
      <c r="K75" s="3"/>
      <c r="L75" s="3"/>
      <c r="M75" s="3"/>
      <c r="O75" s="3"/>
      <c r="Q75" s="2"/>
      <c r="R75" s="3"/>
      <c r="S75" s="3"/>
      <c r="W75" s="73"/>
    </row>
    <row r="76" spans="1:25">
      <c r="A76" s="9"/>
      <c r="C76" s="9"/>
      <c r="D76" s="9"/>
      <c r="E76" s="9"/>
      <c r="F76" s="9"/>
      <c r="G76" s="2"/>
      <c r="H76" s="116"/>
      <c r="I76" s="3"/>
      <c r="J76" s="3"/>
      <c r="K76" s="3"/>
      <c r="L76" s="3"/>
      <c r="M76" s="3"/>
      <c r="O76" s="3"/>
      <c r="Q76" s="2"/>
      <c r="R76" s="3"/>
      <c r="S76" s="3"/>
      <c r="W76" s="73"/>
    </row>
    <row r="77" spans="1:25">
      <c r="A77" s="9"/>
      <c r="C77" s="9"/>
      <c r="F77" s="9"/>
      <c r="G77" s="2"/>
      <c r="H77" s="116"/>
      <c r="I77" s="3"/>
      <c r="J77" s="3"/>
      <c r="K77" s="3"/>
      <c r="L77" s="3"/>
      <c r="M77" s="3"/>
      <c r="O77" s="3"/>
      <c r="Q77" s="2"/>
      <c r="R77" s="3"/>
      <c r="S77" s="3"/>
      <c r="W77" s="73"/>
    </row>
    <row r="78" spans="1:25">
      <c r="A78" s="9"/>
      <c r="C78" s="9"/>
      <c r="F78" s="9"/>
      <c r="G78" s="2"/>
      <c r="H78" s="116"/>
      <c r="I78" s="3"/>
      <c r="J78" s="3"/>
      <c r="K78" s="3"/>
      <c r="L78" s="3"/>
      <c r="M78" s="3"/>
      <c r="O78" s="3"/>
      <c r="Q78" s="2"/>
      <c r="R78" s="3"/>
      <c r="S78" s="3"/>
    </row>
    <row r="79" spans="1:25">
      <c r="A79" s="9"/>
      <c r="C79" s="9"/>
      <c r="F79" s="9"/>
      <c r="G79" s="2"/>
      <c r="H79" s="116"/>
      <c r="I79" s="3"/>
      <c r="J79" s="3"/>
      <c r="K79" s="3"/>
      <c r="L79" s="3"/>
      <c r="M79" s="3"/>
      <c r="O79" s="3"/>
      <c r="Q79" s="2"/>
      <c r="R79" s="3"/>
      <c r="S79" s="3"/>
    </row>
    <row r="80" spans="1:25">
      <c r="A80" s="9"/>
      <c r="C80" s="9"/>
      <c r="F80" s="9"/>
      <c r="G80" s="2"/>
      <c r="H80" s="116"/>
      <c r="I80" s="3"/>
      <c r="J80" s="3"/>
      <c r="K80" s="3"/>
      <c r="L80" s="3"/>
      <c r="M80" s="3"/>
      <c r="O80" s="3"/>
      <c r="Q80" s="2"/>
      <c r="R80" s="3"/>
      <c r="S80" s="3"/>
    </row>
    <row r="81" spans="1:19">
      <c r="A81" s="9"/>
      <c r="C81" s="9"/>
      <c r="F81" s="9"/>
      <c r="G81" s="2"/>
      <c r="H81" s="116"/>
      <c r="I81" s="3"/>
      <c r="J81" s="3"/>
      <c r="K81" s="3"/>
      <c r="L81" s="3"/>
      <c r="M81" s="3"/>
      <c r="O81" s="3"/>
      <c r="Q81" s="2"/>
      <c r="R81" s="3"/>
      <c r="S81" s="3"/>
    </row>
    <row r="82" spans="1:19">
      <c r="A82" s="9"/>
      <c r="C82" s="9"/>
      <c r="F82" s="9"/>
      <c r="G82" s="2"/>
      <c r="H82" s="116"/>
      <c r="I82" s="3"/>
      <c r="J82" s="3"/>
      <c r="K82" s="3"/>
      <c r="L82" s="3"/>
      <c r="M82" s="3"/>
      <c r="O82" s="3"/>
      <c r="Q82" s="2"/>
      <c r="R82" s="3"/>
      <c r="S82" s="3"/>
    </row>
    <row r="83" spans="1:19">
      <c r="A83" s="9"/>
      <c r="C83" s="9"/>
      <c r="F83" s="9"/>
      <c r="G83" s="2"/>
      <c r="H83" s="116"/>
      <c r="I83" s="3"/>
      <c r="J83" s="3"/>
      <c r="K83" s="3"/>
      <c r="L83" s="3"/>
      <c r="M83" s="3"/>
      <c r="O83" s="3"/>
      <c r="Q83" s="2"/>
      <c r="R83" s="3"/>
      <c r="S83" s="3"/>
    </row>
    <row r="84" spans="1:19">
      <c r="A84" s="9"/>
      <c r="C84" s="9"/>
      <c r="F84" s="9"/>
      <c r="G84" s="2"/>
      <c r="H84" s="116"/>
      <c r="I84" s="3"/>
      <c r="J84" s="3"/>
      <c r="K84" s="3"/>
      <c r="L84" s="3"/>
      <c r="M84" s="3"/>
      <c r="O84" s="3"/>
      <c r="Q84" s="2"/>
      <c r="R84" s="3"/>
      <c r="S84" s="3"/>
    </row>
    <row r="85" spans="1:19">
      <c r="A85" s="9"/>
      <c r="C85" s="9"/>
      <c r="F85" s="9"/>
      <c r="G85" s="2"/>
      <c r="H85" s="116"/>
      <c r="I85" s="3"/>
      <c r="J85" s="3"/>
      <c r="K85" s="3"/>
      <c r="L85" s="3"/>
      <c r="M85" s="3"/>
      <c r="O85" s="3"/>
      <c r="Q85" s="2"/>
      <c r="R85" s="3"/>
      <c r="S85" s="3"/>
    </row>
    <row r="86" spans="1:19">
      <c r="C86" s="9"/>
      <c r="F86" s="9"/>
      <c r="G86" s="2"/>
      <c r="H86" s="116"/>
      <c r="I86" s="3"/>
      <c r="J86" s="3"/>
      <c r="K86" s="3"/>
      <c r="L86" s="3"/>
      <c r="M86" s="3"/>
      <c r="O86" s="3"/>
    </row>
    <row r="87" spans="1:19">
      <c r="F87" s="9"/>
      <c r="G87" s="2"/>
      <c r="H87" s="116"/>
      <c r="I87" s="3"/>
      <c r="J87" s="3"/>
      <c r="K87" s="3"/>
      <c r="L87" s="3"/>
      <c r="M87" s="3"/>
    </row>
  </sheetData>
  <sheetProtection sheet="1" selectLockedCells="1"/>
  <mergeCells count="5">
    <mergeCell ref="D4:K4"/>
    <mergeCell ref="D5:K5"/>
    <mergeCell ref="D7:E7"/>
    <mergeCell ref="D15:E15"/>
    <mergeCell ref="D21:E21"/>
  </mergeCells>
  <conditionalFormatting sqref="E16">
    <cfRule type="expression" dxfId="22" priority="6">
      <formula>ISBLANK($E$16)</formula>
    </cfRule>
    <cfRule type="expression" dxfId="21" priority="8">
      <formula>WEEKDAY(E16,2)&gt;5</formula>
    </cfRule>
  </conditionalFormatting>
  <conditionalFormatting sqref="E9:E10">
    <cfRule type="expression" dxfId="20" priority="7">
      <formula>ISBLANK($E$9)</formula>
    </cfRule>
  </conditionalFormatting>
  <conditionalFormatting sqref="F31">
    <cfRule type="expression" dxfId="19" priority="9">
      <formula>DAY(#REF!)&gt;28</formula>
    </cfRule>
  </conditionalFormatting>
  <conditionalFormatting sqref="E23 E19">
    <cfRule type="expression" dxfId="18" priority="10">
      <formula>#REF!=FALSE</formula>
    </cfRule>
  </conditionalFormatting>
  <conditionalFormatting sqref="D17:E17">
    <cfRule type="expression" dxfId="17" priority="11">
      <formula>$E$10=$AC$11</formula>
    </cfRule>
  </conditionalFormatting>
  <conditionalFormatting sqref="D17:E17">
    <cfRule type="expression" dxfId="16" priority="12">
      <formula>$E$10=$AC$11</formula>
    </cfRule>
  </conditionalFormatting>
  <conditionalFormatting sqref="F24">
    <cfRule type="expression" dxfId="15" priority="3">
      <formula>#REF!=FALSE</formula>
    </cfRule>
  </conditionalFormatting>
  <conditionalFormatting sqref="D18:E18">
    <cfRule type="expression" dxfId="14" priority="1">
      <formula>$E$10=$AC$11</formula>
    </cfRule>
  </conditionalFormatting>
  <conditionalFormatting sqref="D18:E18">
    <cfRule type="expression" dxfId="13" priority="2">
      <formula>$E$10=$AC$11</formula>
    </cfRule>
  </conditionalFormatting>
  <dataValidations count="1">
    <dataValidation type="list" allowBlank="1" showInputMessage="1" showErrorMessage="1" sqref="E10">
      <formula1>$AC$10:$AC$11</formula1>
    </dataValidation>
  </dataValidations>
  <printOptions horizontalCentered="1"/>
  <pageMargins left="0.5" right="0.5" top="0.74803149606299202" bottom="0.74803149606299202" header="0.31496062992126" footer="0.31496062992126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topLeftCell="B1" zoomScale="85" zoomScaleNormal="85" workbookViewId="0">
      <selection activeCell="D19" sqref="D19"/>
    </sheetView>
  </sheetViews>
  <sheetFormatPr baseColWidth="10" defaultColWidth="10.42578125" defaultRowHeight="15"/>
  <cols>
    <col min="1" max="1" width="10.42578125" style="1" hidden="1" customWidth="1"/>
    <col min="2" max="2" width="6.85546875" style="1" customWidth="1"/>
    <col min="3" max="3" width="12.28515625" style="1" customWidth="1"/>
    <col min="4" max="4" width="17.42578125" style="1" customWidth="1"/>
    <col min="5" max="5" width="18.28515625" style="1" customWidth="1"/>
    <col min="6" max="6" width="15" style="1" customWidth="1"/>
    <col min="7" max="7" width="22.140625" style="1" customWidth="1"/>
    <col min="8" max="8" width="15.7109375" style="1" customWidth="1"/>
    <col min="9" max="9" width="5.42578125" style="1" customWidth="1"/>
    <col min="10" max="10" width="15.7109375" style="1" customWidth="1"/>
    <col min="11" max="11" width="5" style="73" customWidth="1"/>
    <col min="12" max="12" width="13.28515625" style="1" customWidth="1"/>
    <col min="13" max="13" width="10.42578125" style="1" customWidth="1"/>
    <col min="14" max="14" width="13.140625" style="1" customWidth="1"/>
    <col min="15" max="15" width="5.7109375" style="1" customWidth="1"/>
    <col min="16" max="16" width="9.7109375" style="1" customWidth="1"/>
    <col min="17" max="17" width="12.42578125" style="1" customWidth="1"/>
    <col min="18" max="18" width="10.42578125" style="1" customWidth="1"/>
    <col min="19" max="19" width="13.7109375" style="1" customWidth="1"/>
    <col min="20" max="20" width="16.140625" style="1" customWidth="1"/>
    <col min="21" max="21" width="15.5703125" style="1" customWidth="1"/>
    <col min="22" max="16384" width="10.42578125" style="1"/>
  </cols>
  <sheetData>
    <row r="1" spans="4:21" ht="69" customHeight="1">
      <c r="H1"/>
    </row>
    <row r="2" spans="4:21" ht="22.15" customHeight="1">
      <c r="D2" s="87" t="e">
        <f>+#REF!</f>
        <v>#REF!</v>
      </c>
    </row>
    <row r="3" spans="4:21" ht="21" customHeight="1">
      <c r="D3" s="14" t="s">
        <v>24</v>
      </c>
    </row>
    <row r="4" spans="4:21" ht="15" customHeight="1"/>
    <row r="5" spans="4:21" ht="15" customHeight="1">
      <c r="D5" s="16" t="s">
        <v>4</v>
      </c>
      <c r="E5" s="17" t="e">
        <f>+#REF!</f>
        <v>#REF!</v>
      </c>
      <c r="F5" s="37"/>
      <c r="G5" s="94" t="s">
        <v>14</v>
      </c>
      <c r="H5" s="91">
        <v>43187</v>
      </c>
      <c r="I5" s="67" t="s">
        <v>112</v>
      </c>
      <c r="J5"/>
      <c r="K5" s="74"/>
    </row>
    <row r="6" spans="4:21" ht="15" customHeight="1">
      <c r="D6" s="18" t="s">
        <v>1</v>
      </c>
      <c r="E6" s="19" t="e">
        <f>+#REF!</f>
        <v>#REF!</v>
      </c>
      <c r="G6" s="93" t="s">
        <v>121</v>
      </c>
      <c r="H6" s="92" t="e">
        <f>DATE(YEAR(Fecha_Emision_Def),MONTH(Fecha_Emision_Def)+VLOOKUP($E$12,$L$20:$M$24,2,FALSE),DAY(Fecha_Emision_Def))-6</f>
        <v>#REF!</v>
      </c>
    </row>
    <row r="7" spans="4:21" ht="15" customHeight="1">
      <c r="D7" s="18" t="s">
        <v>7</v>
      </c>
      <c r="E7" s="35" t="e">
        <f>+#REF!</f>
        <v>#REF!</v>
      </c>
      <c r="F7" s="41" t="s">
        <v>35</v>
      </c>
      <c r="G7"/>
      <c r="H7"/>
      <c r="I7" s="15"/>
    </row>
    <row r="8" spans="4:21" ht="15" customHeight="1">
      <c r="D8" s="18" t="s">
        <v>26</v>
      </c>
      <c r="E8" s="35" t="e">
        <f>+#REF!</f>
        <v>#REF!</v>
      </c>
      <c r="F8" s="41" t="s">
        <v>32</v>
      </c>
      <c r="G8"/>
      <c r="H8"/>
      <c r="I8" s="15"/>
      <c r="J8" s="38"/>
      <c r="K8" s="75"/>
    </row>
    <row r="9" spans="4:21" ht="15" customHeight="1">
      <c r="D9" s="18" t="s">
        <v>6</v>
      </c>
      <c r="E9" s="35" t="e">
        <f>+#REF!</f>
        <v>#REF!</v>
      </c>
      <c r="G9" s="16" t="s">
        <v>109</v>
      </c>
      <c r="H9" s="65">
        <f>+N30</f>
        <v>0.22</v>
      </c>
      <c r="I9" s="6"/>
      <c r="J9" s="38"/>
      <c r="K9" s="75"/>
      <c r="O9" s="70">
        <v>1</v>
      </c>
      <c r="P9" s="70">
        <f>COUNTIF($P$18:$P$77,O9)</f>
        <v>0</v>
      </c>
    </row>
    <row r="10" spans="4:21" ht="15" customHeight="1">
      <c r="D10" s="18" t="s">
        <v>5</v>
      </c>
      <c r="E10" s="35" t="e">
        <f>+#REF!</f>
        <v>#REF!</v>
      </c>
      <c r="G10" s="18" t="s">
        <v>110</v>
      </c>
      <c r="H10" s="23">
        <f>+N31</f>
        <v>0.19</v>
      </c>
      <c r="I10" s="6"/>
      <c r="J10" s="36"/>
      <c r="K10" s="76"/>
      <c r="O10" s="70">
        <v>2</v>
      </c>
      <c r="P10" s="70">
        <f>COUNTIF($P$18:$P$77,O10)</f>
        <v>0</v>
      </c>
    </row>
    <row r="11" spans="4:21" ht="15" customHeight="1">
      <c r="D11" s="18" t="s">
        <v>11</v>
      </c>
      <c r="E11" s="20" t="s">
        <v>10</v>
      </c>
      <c r="G11" s="84" t="s">
        <v>111</v>
      </c>
      <c r="H11" s="66">
        <f>+N32</f>
        <v>0.16</v>
      </c>
      <c r="I11" s="6"/>
      <c r="J11" s="36"/>
      <c r="K11" s="76"/>
      <c r="O11" s="70">
        <v>3</v>
      </c>
      <c r="P11" s="70">
        <f>COUNTIF($P$18:$P$77,O11)</f>
        <v>0</v>
      </c>
      <c r="T11" s="68"/>
    </row>
    <row r="12" spans="4:21" ht="15" customHeight="1">
      <c r="D12" s="18" t="s">
        <v>16</v>
      </c>
      <c r="E12" s="21" t="e">
        <f>+#REF!</f>
        <v>#REF!</v>
      </c>
      <c r="J12" s="36"/>
      <c r="K12" s="76"/>
      <c r="O12" s="70">
        <v>4</v>
      </c>
      <c r="P12" s="70">
        <f>COUNTIF($P$18:$P$77,O12)</f>
        <v>0</v>
      </c>
      <c r="T12" s="32"/>
    </row>
    <row r="13" spans="4:21" ht="15" customHeight="1">
      <c r="D13" s="18" t="s">
        <v>21</v>
      </c>
      <c r="E13" s="21" t="s">
        <v>22</v>
      </c>
      <c r="O13" s="70">
        <v>5</v>
      </c>
      <c r="P13" s="70">
        <f>COUNTIF($P$18:$P$77,O13)</f>
        <v>0</v>
      </c>
    </row>
    <row r="14" spans="4:21" ht="15" customHeight="1">
      <c r="D14" s="84" t="s">
        <v>12</v>
      </c>
      <c r="E14" s="22" t="e">
        <f>+#REF!</f>
        <v>#REF!</v>
      </c>
      <c r="G14" s="34" t="s">
        <v>31</v>
      </c>
      <c r="H14" s="42" t="e">
        <f>+IRR(T17:T1008)*12</f>
        <v>#VALUE!</v>
      </c>
      <c r="T14" s="148" t="s">
        <v>36</v>
      </c>
      <c r="U14" s="69" t="s">
        <v>113</v>
      </c>
    </row>
    <row r="15" spans="4:21">
      <c r="E15" s="4"/>
      <c r="F15" s="4"/>
      <c r="G15" s="4"/>
      <c r="H15" s="4"/>
      <c r="P15" s="48"/>
      <c r="T15" s="148"/>
      <c r="U15" s="1" t="e">
        <f>SUM(G16,#REF!)=SUM(Definitivo!T18:T77)</f>
        <v>#REF!</v>
      </c>
    </row>
    <row r="16" spans="4:21">
      <c r="D16" s="16" t="s">
        <v>8</v>
      </c>
      <c r="E16" s="25" t="e">
        <f>+SUM(E18:E1008)</f>
        <v>#REF!</v>
      </c>
      <c r="F16" s="27" t="e">
        <f>+SUM(F18:F1008)</f>
        <v>#REF!</v>
      </c>
      <c r="G16" s="26" t="e">
        <f>+SUM(G18:G1008)</f>
        <v>#REF!</v>
      </c>
      <c r="H16" s="8"/>
      <c r="J16" s="29">
        <f>+SUM(J18:J1008)</f>
        <v>1.0000000000000004</v>
      </c>
      <c r="K16" s="77"/>
      <c r="L16" s="5" t="s">
        <v>9</v>
      </c>
      <c r="T16" s="148"/>
      <c r="U16" s="53" t="e">
        <f>ROUND(SUM(U18:U77),0)=ROUND(#REF!,0)</f>
        <v>#REF!</v>
      </c>
    </row>
    <row r="17" spans="1:21" ht="30">
      <c r="A17" s="9">
        <v>0</v>
      </c>
      <c r="C17" s="86" t="s">
        <v>120</v>
      </c>
      <c r="D17" s="84" t="s">
        <v>15</v>
      </c>
      <c r="E17" s="85" t="s">
        <v>0</v>
      </c>
      <c r="F17" s="85" t="s">
        <v>2</v>
      </c>
      <c r="G17" s="85" t="s">
        <v>3</v>
      </c>
      <c r="H17" s="28" t="s">
        <v>13</v>
      </c>
      <c r="J17" s="24" t="s">
        <v>20</v>
      </c>
      <c r="K17" s="71"/>
      <c r="L17" s="5" t="s">
        <v>10</v>
      </c>
      <c r="N17" s="5" t="s">
        <v>29</v>
      </c>
      <c r="O17" s="71"/>
      <c r="P17" s="45" t="s">
        <v>33</v>
      </c>
      <c r="R17" s="72" t="s">
        <v>30</v>
      </c>
      <c r="S17" s="45" t="s">
        <v>34</v>
      </c>
      <c r="T17" s="47" t="e">
        <f>-$E$5+#REF!+#REF!</f>
        <v>#REF!</v>
      </c>
    </row>
    <row r="18" spans="1:21">
      <c r="A18" s="9" t="e">
        <f t="shared" ref="A18:A77" si="0">+A17+VLOOKUP($E$12,$L$20:$M$24,2,0)</f>
        <v>#REF!</v>
      </c>
      <c r="B18" s="2" t="e">
        <f t="shared" ref="B18:B77" si="1">+IF(A17+VLOOKUP($E$12,$L$20:$M$24,2,0)&gt;$E$6,"",B17+VLOOKUP($E$12,$L$20:$M$24,2,0))</f>
        <v>#REF!</v>
      </c>
      <c r="C18" s="88">
        <v>1</v>
      </c>
      <c r="D18" s="89" t="e">
        <f>+H6</f>
        <v>#REF!</v>
      </c>
      <c r="E18" s="90" t="e">
        <f t="shared" ref="E18:E77" si="2">+IF(D18="","",IF($E$13=$L$26,IF($E$14&gt;=B18,"",$E$5/($E$6-$E$14)*VLOOKUP($E$12,$L$20:$M$24,2,0)),$E$5*J18))</f>
        <v>#REF!</v>
      </c>
      <c r="F18" s="90" t="e">
        <f>IF(D18="","",IF($E$11=$L$16,$E$5*(D18-$H$5)/365*$E$10,IF($E$11=$L$17,$E$5*(D18-$H$5)/365*$E$9,$E$5*(D18-$H$5)/365*($E$7+VLOOKUP(P18,$L$30:$N$34,3)))))</f>
        <v>#REF!</v>
      </c>
      <c r="G18" s="90" t="e">
        <f t="shared" ref="G18:G33" si="3">IF(B18="","",SUM(E18:F18))</f>
        <v>#REF!</v>
      </c>
      <c r="H18" s="90" t="e">
        <f>IF(D18="","",$E$5-SUM($E$18:E18))</f>
        <v>#REF!</v>
      </c>
      <c r="J18" s="30">
        <v>0.02</v>
      </c>
      <c r="K18" s="78"/>
      <c r="L18" s="5" t="s">
        <v>25</v>
      </c>
      <c r="N18" s="39" t="e">
        <f>SUM(E18:E77)</f>
        <v>#REF!</v>
      </c>
      <c r="O18" s="39"/>
      <c r="P18" s="46" t="e">
        <f t="shared" ref="P18:P77" si="4">IF(D18="","",ROUNDUP(B18/12,0))</f>
        <v>#REF!</v>
      </c>
      <c r="Q18" s="43" t="e">
        <f>+(E5*R18*(D18-H5))/365</f>
        <v>#REF!</v>
      </c>
      <c r="R18" s="33" t="e">
        <f>+#REF!</f>
        <v>#REF!</v>
      </c>
      <c r="S18" s="46">
        <v>1</v>
      </c>
      <c r="T18" s="52" t="e">
        <f>SUMIF($B$18:$B$77,$S18,$G$18:$G$77)+IF(S18&lt;13,#REF!/12,0)</f>
        <v>#REF!</v>
      </c>
      <c r="U18" s="53" t="e">
        <f t="shared" ref="U18:U77" si="5">+T18-IF(ISNUMBER(G18),G18,0)</f>
        <v>#REF!</v>
      </c>
    </row>
    <row r="19" spans="1:21">
      <c r="A19" s="9" t="e">
        <f t="shared" si="0"/>
        <v>#REF!</v>
      </c>
      <c r="B19" s="2" t="e">
        <f t="shared" si="1"/>
        <v>#REF!</v>
      </c>
      <c r="C19" s="88">
        <v>2</v>
      </c>
      <c r="D19" s="89" t="e">
        <f t="shared" ref="D19:D50" si="6">IF(B19="","",DATE(YEAR(D18),MONTH(D18)+VLOOKUP($E$12,$L$20:$M$24,2,FALSE),DAY(Fecha_Emision_Def)))</f>
        <v>#REF!</v>
      </c>
      <c r="E19" s="90" t="e">
        <f t="shared" si="2"/>
        <v>#REF!</v>
      </c>
      <c r="F19" s="90" t="e">
        <f>IF(D19="","",IF($E$11=$L$16,H18*(D19-D18)/365*$E$10,IF($E$11=$L$17,H18*(D19-D18)/365*$E$9,H18*(D19-D18)/365*($E$7+VLOOKUP(P18,$L$30:$N$34,3)))))</f>
        <v>#REF!</v>
      </c>
      <c r="G19" s="90" t="e">
        <f t="shared" si="3"/>
        <v>#REF!</v>
      </c>
      <c r="H19" s="90" t="e">
        <f>IF(D19="","",$E$5-SUM($E$18:E19))</f>
        <v>#REF!</v>
      </c>
      <c r="J19" s="30">
        <v>0.02</v>
      </c>
      <c r="K19" s="78"/>
      <c r="N19" s="40"/>
      <c r="O19" s="40"/>
      <c r="P19" s="46" t="e">
        <f t="shared" si="4"/>
        <v>#REF!</v>
      </c>
      <c r="Q19" s="43" t="str">
        <f t="shared" ref="Q19:Q77" si="7">IF(ISNUMBER(D19),(H18*R19*(D19-D18))/365,"")</f>
        <v/>
      </c>
      <c r="R19" s="33" t="e">
        <f>+#REF!</f>
        <v>#REF!</v>
      </c>
      <c r="S19" s="46">
        <v>2</v>
      </c>
      <c r="T19" s="52" t="e">
        <f>SUMIF($B$18:$B$77,$S19,$G$18:$G$77)+IF(S19&lt;13,#REF!/12,0)</f>
        <v>#REF!</v>
      </c>
      <c r="U19" s="53" t="e">
        <f t="shared" si="5"/>
        <v>#REF!</v>
      </c>
    </row>
    <row r="20" spans="1:21">
      <c r="A20" s="9" t="e">
        <f t="shared" si="0"/>
        <v>#REF!</v>
      </c>
      <c r="B20" s="2" t="e">
        <f t="shared" si="1"/>
        <v>#REF!</v>
      </c>
      <c r="C20" s="88">
        <v>3</v>
      </c>
      <c r="D20" s="89" t="e">
        <f t="shared" si="6"/>
        <v>#REF!</v>
      </c>
      <c r="E20" s="90" t="e">
        <f t="shared" si="2"/>
        <v>#REF!</v>
      </c>
      <c r="F20" s="90" t="e">
        <f t="shared" ref="F20:F77" si="8">IF(D20="","",IF($E$11=$L$16,H19*(D20-D19)/365*$E$10,IF($E$11=$L$17,H19*(D20-D19)/365*$E$9,H19*(D20-D19)/365*($E$7+VLOOKUP(P19,$L$30:$N$34,3)))))</f>
        <v>#REF!</v>
      </c>
      <c r="G20" s="90" t="e">
        <f t="shared" si="3"/>
        <v>#REF!</v>
      </c>
      <c r="H20" s="90" t="e">
        <f>IF(D20="","",$E$5-SUM($E$18:E20))</f>
        <v>#REF!</v>
      </c>
      <c r="J20" s="30">
        <v>0.02</v>
      </c>
      <c r="K20" s="78"/>
      <c r="L20" s="10" t="s">
        <v>17</v>
      </c>
      <c r="M20" s="10">
        <v>1</v>
      </c>
      <c r="N20" s="40">
        <v>12</v>
      </c>
      <c r="O20" s="40"/>
      <c r="P20" s="46" t="e">
        <f t="shared" si="4"/>
        <v>#REF!</v>
      </c>
      <c r="Q20" s="43" t="str">
        <f t="shared" si="7"/>
        <v/>
      </c>
      <c r="R20" s="33" t="e">
        <f>+#REF!</f>
        <v>#REF!</v>
      </c>
      <c r="S20" s="46">
        <v>3</v>
      </c>
      <c r="T20" s="52" t="e">
        <f>SUMIF($B$18:$B$77,$S20,$G$18:$G$77)+IF(S20&lt;13,#REF!/12,0)</f>
        <v>#REF!</v>
      </c>
      <c r="U20" s="53" t="e">
        <f t="shared" si="5"/>
        <v>#REF!</v>
      </c>
    </row>
    <row r="21" spans="1:21">
      <c r="A21" s="9" t="e">
        <f t="shared" si="0"/>
        <v>#REF!</v>
      </c>
      <c r="B21" s="2" t="e">
        <f t="shared" si="1"/>
        <v>#REF!</v>
      </c>
      <c r="C21" s="88">
        <v>4</v>
      </c>
      <c r="D21" s="89" t="e">
        <f t="shared" si="6"/>
        <v>#REF!</v>
      </c>
      <c r="E21" s="90" t="e">
        <f t="shared" si="2"/>
        <v>#REF!</v>
      </c>
      <c r="F21" s="90" t="e">
        <f t="shared" si="8"/>
        <v>#REF!</v>
      </c>
      <c r="G21" s="90" t="e">
        <f t="shared" si="3"/>
        <v>#REF!</v>
      </c>
      <c r="H21" s="90" t="e">
        <f>IF(D21="","",$E$5-SUM($E$18:E21))</f>
        <v>#REF!</v>
      </c>
      <c r="I21" s="7"/>
      <c r="J21" s="30">
        <v>0.02</v>
      </c>
      <c r="K21" s="78"/>
      <c r="L21" s="10" t="s">
        <v>18</v>
      </c>
      <c r="M21" s="10">
        <v>2</v>
      </c>
      <c r="N21" s="40">
        <v>6</v>
      </c>
      <c r="O21" s="40"/>
      <c r="P21" s="46" t="e">
        <f t="shared" si="4"/>
        <v>#REF!</v>
      </c>
      <c r="Q21" s="43" t="str">
        <f t="shared" si="7"/>
        <v/>
      </c>
      <c r="R21" s="33" t="e">
        <f>+#REF!</f>
        <v>#REF!</v>
      </c>
      <c r="S21" s="46">
        <v>4</v>
      </c>
      <c r="T21" s="52" t="e">
        <f>SUMIF($B$18:$B$77,$S21,$G$18:$G$77)+IF(S21&lt;13,#REF!/12,0)</f>
        <v>#REF!</v>
      </c>
      <c r="U21" s="53" t="e">
        <f t="shared" si="5"/>
        <v>#REF!</v>
      </c>
    </row>
    <row r="22" spans="1:21">
      <c r="A22" s="9" t="e">
        <f t="shared" si="0"/>
        <v>#REF!</v>
      </c>
      <c r="B22" s="2" t="e">
        <f t="shared" si="1"/>
        <v>#REF!</v>
      </c>
      <c r="C22" s="88">
        <v>5</v>
      </c>
      <c r="D22" s="89" t="e">
        <f t="shared" si="6"/>
        <v>#REF!</v>
      </c>
      <c r="E22" s="90" t="e">
        <f t="shared" si="2"/>
        <v>#REF!</v>
      </c>
      <c r="F22" s="90" t="e">
        <f t="shared" si="8"/>
        <v>#REF!</v>
      </c>
      <c r="G22" s="90" t="e">
        <f t="shared" si="3"/>
        <v>#REF!</v>
      </c>
      <c r="H22" s="90" t="e">
        <f>IF(D22="","",$E$5-SUM($E$18:E22))</f>
        <v>#REF!</v>
      </c>
      <c r="J22" s="30">
        <v>0.02</v>
      </c>
      <c r="K22" s="78"/>
      <c r="L22" s="10" t="s">
        <v>19</v>
      </c>
      <c r="M22" s="10">
        <v>3</v>
      </c>
      <c r="N22" s="40">
        <v>4</v>
      </c>
      <c r="O22" s="40"/>
      <c r="P22" s="46" t="e">
        <f t="shared" si="4"/>
        <v>#REF!</v>
      </c>
      <c r="Q22" s="43" t="str">
        <f t="shared" si="7"/>
        <v/>
      </c>
      <c r="R22" s="33" t="e">
        <f>+#REF!</f>
        <v>#REF!</v>
      </c>
      <c r="S22" s="46">
        <v>5</v>
      </c>
      <c r="T22" s="52" t="e">
        <f>SUMIF($B$18:$B$77,$S22,$G$18:$G$77)+IF(S22&lt;13,#REF!/12,0)</f>
        <v>#REF!</v>
      </c>
      <c r="U22" s="53" t="e">
        <f t="shared" si="5"/>
        <v>#REF!</v>
      </c>
    </row>
    <row r="23" spans="1:21">
      <c r="A23" s="9" t="e">
        <f t="shared" si="0"/>
        <v>#REF!</v>
      </c>
      <c r="B23" s="2" t="e">
        <f t="shared" si="1"/>
        <v>#REF!</v>
      </c>
      <c r="C23" s="88">
        <v>6</v>
      </c>
      <c r="D23" s="89" t="e">
        <f t="shared" si="6"/>
        <v>#REF!</v>
      </c>
      <c r="E23" s="90" t="e">
        <f t="shared" si="2"/>
        <v>#REF!</v>
      </c>
      <c r="F23" s="90" t="e">
        <f t="shared" si="8"/>
        <v>#REF!</v>
      </c>
      <c r="G23" s="90" t="e">
        <f t="shared" si="3"/>
        <v>#REF!</v>
      </c>
      <c r="H23" s="90" t="e">
        <f>IF(D23="","",$E$5-SUM($E$18:E23))</f>
        <v>#REF!</v>
      </c>
      <c r="J23" s="30">
        <v>0.02</v>
      </c>
      <c r="K23" s="78"/>
      <c r="L23" s="10" t="s">
        <v>27</v>
      </c>
      <c r="M23" s="10">
        <v>4</v>
      </c>
      <c r="N23" s="40">
        <v>3</v>
      </c>
      <c r="O23" s="40"/>
      <c r="P23" s="46" t="e">
        <f t="shared" si="4"/>
        <v>#REF!</v>
      </c>
      <c r="Q23" s="43" t="str">
        <f t="shared" si="7"/>
        <v/>
      </c>
      <c r="R23" s="33" t="e">
        <f>+#REF!</f>
        <v>#REF!</v>
      </c>
      <c r="S23" s="46">
        <v>6</v>
      </c>
      <c r="T23" s="52" t="e">
        <f>SUMIF($B$18:$B$77,$S23,$G$18:$G$77)+IF(S23&lt;13,#REF!/12,0)</f>
        <v>#REF!</v>
      </c>
      <c r="U23" s="53" t="e">
        <f t="shared" si="5"/>
        <v>#REF!</v>
      </c>
    </row>
    <row r="24" spans="1:21">
      <c r="A24" s="9" t="e">
        <f t="shared" si="0"/>
        <v>#REF!</v>
      </c>
      <c r="B24" s="2" t="e">
        <f t="shared" si="1"/>
        <v>#REF!</v>
      </c>
      <c r="C24" s="88">
        <v>7</v>
      </c>
      <c r="D24" s="89" t="e">
        <f t="shared" si="6"/>
        <v>#REF!</v>
      </c>
      <c r="E24" s="90" t="e">
        <f t="shared" si="2"/>
        <v>#REF!</v>
      </c>
      <c r="F24" s="90" t="e">
        <f t="shared" si="8"/>
        <v>#REF!</v>
      </c>
      <c r="G24" s="90" t="e">
        <f t="shared" si="3"/>
        <v>#REF!</v>
      </c>
      <c r="H24" s="90" t="e">
        <f>IF(D24="","",$E$5-SUM($E$18:E24))</f>
        <v>#REF!</v>
      </c>
      <c r="J24" s="30">
        <v>0.02</v>
      </c>
      <c r="K24" s="78"/>
      <c r="L24" s="10" t="s">
        <v>28</v>
      </c>
      <c r="M24" s="10">
        <v>6</v>
      </c>
      <c r="N24" s="40">
        <v>2</v>
      </c>
      <c r="O24" s="40"/>
      <c r="P24" s="46" t="e">
        <f t="shared" si="4"/>
        <v>#REF!</v>
      </c>
      <c r="Q24" s="43" t="str">
        <f t="shared" si="7"/>
        <v/>
      </c>
      <c r="R24" s="33" t="e">
        <f>+#REF!</f>
        <v>#REF!</v>
      </c>
      <c r="S24" s="46">
        <v>7</v>
      </c>
      <c r="T24" s="52" t="e">
        <f>SUMIF($B$18:$B$77,$S24,$G$18:$G$77)+IF(S24&lt;13,#REF!/12,0)</f>
        <v>#REF!</v>
      </c>
      <c r="U24" s="53" t="e">
        <f t="shared" si="5"/>
        <v>#REF!</v>
      </c>
    </row>
    <row r="25" spans="1:21">
      <c r="A25" s="9" t="e">
        <f t="shared" si="0"/>
        <v>#REF!</v>
      </c>
      <c r="B25" s="2" t="e">
        <f t="shared" si="1"/>
        <v>#REF!</v>
      </c>
      <c r="C25" s="88">
        <v>8</v>
      </c>
      <c r="D25" s="89" t="e">
        <f t="shared" si="6"/>
        <v>#REF!</v>
      </c>
      <c r="E25" s="90" t="e">
        <f t="shared" si="2"/>
        <v>#REF!</v>
      </c>
      <c r="F25" s="90" t="e">
        <f t="shared" si="8"/>
        <v>#REF!</v>
      </c>
      <c r="G25" s="90" t="e">
        <f t="shared" si="3"/>
        <v>#REF!</v>
      </c>
      <c r="H25" s="90" t="e">
        <f>IF(D25="","",$E$5-SUM($E$18:E25))</f>
        <v>#REF!</v>
      </c>
      <c r="J25" s="30">
        <v>0.02</v>
      </c>
      <c r="K25" s="78"/>
      <c r="N25" s="40"/>
      <c r="O25" s="40"/>
      <c r="P25" s="46" t="e">
        <f t="shared" si="4"/>
        <v>#REF!</v>
      </c>
      <c r="Q25" s="43" t="str">
        <f t="shared" si="7"/>
        <v/>
      </c>
      <c r="R25" s="33" t="e">
        <f>+#REF!</f>
        <v>#REF!</v>
      </c>
      <c r="S25" s="46">
        <v>8</v>
      </c>
      <c r="T25" s="52" t="e">
        <f>SUMIF($B$18:$B$77,$S25,$G$18:$G$77)+IF(S25&lt;13,#REF!/12,0)</f>
        <v>#REF!</v>
      </c>
      <c r="U25" s="53" t="e">
        <f t="shared" si="5"/>
        <v>#REF!</v>
      </c>
    </row>
    <row r="26" spans="1:21">
      <c r="A26" s="9" t="e">
        <f t="shared" si="0"/>
        <v>#REF!</v>
      </c>
      <c r="B26" s="2" t="e">
        <f t="shared" si="1"/>
        <v>#REF!</v>
      </c>
      <c r="C26" s="88">
        <v>9</v>
      </c>
      <c r="D26" s="89" t="e">
        <f t="shared" si="6"/>
        <v>#REF!</v>
      </c>
      <c r="E26" s="90" t="e">
        <f t="shared" si="2"/>
        <v>#REF!</v>
      </c>
      <c r="F26" s="90" t="e">
        <f t="shared" si="8"/>
        <v>#REF!</v>
      </c>
      <c r="G26" s="90" t="e">
        <f t="shared" si="3"/>
        <v>#REF!</v>
      </c>
      <c r="H26" s="90" t="e">
        <f>IF(D26="","",$E$5-SUM($E$18:E26))</f>
        <v>#REF!</v>
      </c>
      <c r="J26" s="30">
        <v>0.02</v>
      </c>
      <c r="K26" s="78"/>
      <c r="L26" s="10" t="s">
        <v>22</v>
      </c>
      <c r="N26" s="40"/>
      <c r="O26" s="40"/>
      <c r="P26" s="46" t="e">
        <f t="shared" si="4"/>
        <v>#REF!</v>
      </c>
      <c r="Q26" s="43" t="str">
        <f t="shared" si="7"/>
        <v/>
      </c>
      <c r="R26" s="33" t="e">
        <f>+#REF!</f>
        <v>#REF!</v>
      </c>
      <c r="S26" s="46">
        <v>9</v>
      </c>
      <c r="T26" s="52" t="e">
        <f>SUMIF($B$18:$B$77,$S26,$G$18:$G$77)+IF(S26&lt;13,#REF!/12,0)</f>
        <v>#REF!</v>
      </c>
      <c r="U26" s="53" t="e">
        <f t="shared" si="5"/>
        <v>#REF!</v>
      </c>
    </row>
    <row r="27" spans="1:21">
      <c r="A27" s="9" t="e">
        <f t="shared" si="0"/>
        <v>#REF!</v>
      </c>
      <c r="B27" s="2" t="e">
        <f t="shared" si="1"/>
        <v>#REF!</v>
      </c>
      <c r="C27" s="88">
        <v>10</v>
      </c>
      <c r="D27" s="89" t="e">
        <f t="shared" si="6"/>
        <v>#REF!</v>
      </c>
      <c r="E27" s="90" t="e">
        <f t="shared" si="2"/>
        <v>#REF!</v>
      </c>
      <c r="F27" s="90" t="e">
        <f t="shared" si="8"/>
        <v>#REF!</v>
      </c>
      <c r="G27" s="90" t="e">
        <f t="shared" si="3"/>
        <v>#REF!</v>
      </c>
      <c r="H27" s="90" t="e">
        <f>IF(D27="","",$E$5-SUM($E$18:E27))</f>
        <v>#REF!</v>
      </c>
      <c r="J27" s="30">
        <v>0.02</v>
      </c>
      <c r="K27" s="78"/>
      <c r="L27" s="10" t="s">
        <v>23</v>
      </c>
      <c r="N27" s="40"/>
      <c r="O27" s="40"/>
      <c r="P27" s="46" t="e">
        <f t="shared" si="4"/>
        <v>#REF!</v>
      </c>
      <c r="Q27" s="43" t="str">
        <f t="shared" si="7"/>
        <v/>
      </c>
      <c r="R27" s="33" t="e">
        <f>+#REF!</f>
        <v>#REF!</v>
      </c>
      <c r="S27" s="46">
        <v>10</v>
      </c>
      <c r="T27" s="52" t="e">
        <f>SUMIF($B$18:$B$77,$S27,$G$18:$G$77)+IF(S27&lt;13,#REF!/12,0)</f>
        <v>#REF!</v>
      </c>
      <c r="U27" s="53" t="e">
        <f t="shared" si="5"/>
        <v>#REF!</v>
      </c>
    </row>
    <row r="28" spans="1:21">
      <c r="A28" s="9" t="e">
        <f t="shared" si="0"/>
        <v>#REF!</v>
      </c>
      <c r="B28" s="2" t="e">
        <f t="shared" si="1"/>
        <v>#REF!</v>
      </c>
      <c r="C28" s="88">
        <v>11</v>
      </c>
      <c r="D28" s="89" t="e">
        <f t="shared" si="6"/>
        <v>#REF!</v>
      </c>
      <c r="E28" s="90" t="e">
        <f t="shared" si="2"/>
        <v>#REF!</v>
      </c>
      <c r="F28" s="90" t="e">
        <f t="shared" si="8"/>
        <v>#REF!</v>
      </c>
      <c r="G28" s="90" t="e">
        <f t="shared" si="3"/>
        <v>#REF!</v>
      </c>
      <c r="H28" s="90" t="e">
        <f>IF(D28="","",$E$5-SUM($E$18:E28))</f>
        <v>#REF!</v>
      </c>
      <c r="J28" s="30">
        <v>0.02</v>
      </c>
      <c r="K28" s="78"/>
      <c r="N28" s="40"/>
      <c r="O28" s="40"/>
      <c r="P28" s="46" t="e">
        <f t="shared" si="4"/>
        <v>#REF!</v>
      </c>
      <c r="Q28" s="43" t="str">
        <f t="shared" si="7"/>
        <v/>
      </c>
      <c r="R28" s="33" t="e">
        <f>+#REF!</f>
        <v>#REF!</v>
      </c>
      <c r="S28" s="46">
        <v>11</v>
      </c>
      <c r="T28" s="52" t="e">
        <f>SUMIF($B$18:$B$77,$S28,$G$18:$G$77)+IF(S28&lt;13,#REF!/12,0)</f>
        <v>#REF!</v>
      </c>
      <c r="U28" s="53" t="e">
        <f t="shared" si="5"/>
        <v>#REF!</v>
      </c>
    </row>
    <row r="29" spans="1:21">
      <c r="A29" s="9" t="e">
        <f t="shared" si="0"/>
        <v>#REF!</v>
      </c>
      <c r="B29" s="2" t="e">
        <f t="shared" si="1"/>
        <v>#REF!</v>
      </c>
      <c r="C29" s="88">
        <v>12</v>
      </c>
      <c r="D29" s="89" t="e">
        <f t="shared" si="6"/>
        <v>#REF!</v>
      </c>
      <c r="E29" s="90" t="e">
        <f t="shared" si="2"/>
        <v>#REF!</v>
      </c>
      <c r="F29" s="90" t="e">
        <f t="shared" si="8"/>
        <v>#REF!</v>
      </c>
      <c r="G29" s="90" t="e">
        <f t="shared" si="3"/>
        <v>#REF!</v>
      </c>
      <c r="H29" s="90" t="e">
        <f>IF(D29="","",$E$5-SUM($E$18:E29))</f>
        <v>#REF!</v>
      </c>
      <c r="J29" s="31">
        <v>0.02</v>
      </c>
      <c r="K29" s="78"/>
      <c r="M29" s="149" t="s">
        <v>114</v>
      </c>
      <c r="N29" s="149"/>
      <c r="O29" s="49"/>
      <c r="P29" s="46" t="e">
        <f t="shared" si="4"/>
        <v>#REF!</v>
      </c>
      <c r="Q29" s="43" t="str">
        <f t="shared" si="7"/>
        <v/>
      </c>
      <c r="R29" s="33" t="e">
        <f>+#REF!</f>
        <v>#REF!</v>
      </c>
      <c r="S29" s="46">
        <v>12</v>
      </c>
      <c r="T29" s="52" t="e">
        <f>SUMIF($B$18:$B$77,$S29,$G$18:$G$77)+IF(S29&lt;13,#REF!/12,0)</f>
        <v>#REF!</v>
      </c>
      <c r="U29" s="53" t="e">
        <f t="shared" si="5"/>
        <v>#REF!</v>
      </c>
    </row>
    <row r="30" spans="1:21">
      <c r="A30" s="9" t="e">
        <f t="shared" si="0"/>
        <v>#REF!</v>
      </c>
      <c r="B30" s="2" t="e">
        <f t="shared" si="1"/>
        <v>#REF!</v>
      </c>
      <c r="C30" s="88">
        <v>13</v>
      </c>
      <c r="D30" s="89" t="e">
        <f t="shared" si="6"/>
        <v>#REF!</v>
      </c>
      <c r="E30" s="90" t="e">
        <f t="shared" si="2"/>
        <v>#REF!</v>
      </c>
      <c r="F30" s="90" t="e">
        <f t="shared" si="8"/>
        <v>#REF!</v>
      </c>
      <c r="G30" s="90" t="e">
        <f t="shared" si="3"/>
        <v>#REF!</v>
      </c>
      <c r="H30" s="90" t="e">
        <f>IF(D30="","",$E$5-SUM($E$18:E30))</f>
        <v>#REF!</v>
      </c>
      <c r="J30" s="30">
        <v>2.75E-2</v>
      </c>
      <c r="K30" s="78"/>
      <c r="L30" s="82">
        <v>1</v>
      </c>
      <c r="M30" s="16" t="s">
        <v>115</v>
      </c>
      <c r="N30" s="65">
        <v>0.22</v>
      </c>
      <c r="O30" s="50"/>
      <c r="P30" s="46" t="e">
        <f t="shared" si="4"/>
        <v>#REF!</v>
      </c>
      <c r="Q30" s="43" t="str">
        <f t="shared" si="7"/>
        <v/>
      </c>
      <c r="R30" s="33" t="e">
        <f>+#REF!</f>
        <v>#REF!</v>
      </c>
      <c r="S30" s="46">
        <v>13</v>
      </c>
      <c r="T30" s="52">
        <f>SUMIF($B$18:$B$77,$S30,$G$18:$G$77)+IF(S30&lt;13,#REF!/12,0)</f>
        <v>0</v>
      </c>
      <c r="U30" s="53">
        <f t="shared" si="5"/>
        <v>0</v>
      </c>
    </row>
    <row r="31" spans="1:21" ht="15" customHeight="1">
      <c r="A31" s="9" t="e">
        <f t="shared" si="0"/>
        <v>#REF!</v>
      </c>
      <c r="B31" s="2" t="e">
        <f t="shared" si="1"/>
        <v>#REF!</v>
      </c>
      <c r="C31" s="88">
        <v>14</v>
      </c>
      <c r="D31" s="89" t="e">
        <f t="shared" si="6"/>
        <v>#REF!</v>
      </c>
      <c r="E31" s="90" t="e">
        <f t="shared" si="2"/>
        <v>#REF!</v>
      </c>
      <c r="F31" s="90" t="e">
        <f t="shared" si="8"/>
        <v>#REF!</v>
      </c>
      <c r="G31" s="90" t="e">
        <f t="shared" si="3"/>
        <v>#REF!</v>
      </c>
      <c r="H31" s="90" t="e">
        <f>IF(D31="","",$E$5-SUM($E$18:E31))</f>
        <v>#REF!</v>
      </c>
      <c r="J31" s="30">
        <f>+J30</f>
        <v>2.75E-2</v>
      </c>
      <c r="K31" s="78"/>
      <c r="L31" s="82">
        <v>2</v>
      </c>
      <c r="M31" s="18" t="s">
        <v>118</v>
      </c>
      <c r="N31" s="23">
        <v>0.19</v>
      </c>
      <c r="O31" s="51"/>
      <c r="P31" s="46" t="e">
        <f t="shared" si="4"/>
        <v>#REF!</v>
      </c>
      <c r="Q31" s="43" t="str">
        <f t="shared" si="7"/>
        <v/>
      </c>
      <c r="R31" s="33" t="e">
        <f>+#REF!</f>
        <v>#REF!</v>
      </c>
      <c r="S31" s="46">
        <v>14</v>
      </c>
      <c r="T31" s="52">
        <f>SUMIF($B$18:$B$77,$S31,$G$18:$G$77)+IF(S31&lt;13,#REF!/12,0)</f>
        <v>0</v>
      </c>
      <c r="U31" s="53">
        <f t="shared" si="5"/>
        <v>0</v>
      </c>
    </row>
    <row r="32" spans="1:21">
      <c r="A32" s="9" t="e">
        <f t="shared" si="0"/>
        <v>#REF!</v>
      </c>
      <c r="B32" s="2" t="e">
        <f t="shared" si="1"/>
        <v>#REF!</v>
      </c>
      <c r="C32" s="88">
        <v>15</v>
      </c>
      <c r="D32" s="89" t="e">
        <f t="shared" si="6"/>
        <v>#REF!</v>
      </c>
      <c r="E32" s="90" t="e">
        <f t="shared" si="2"/>
        <v>#REF!</v>
      </c>
      <c r="F32" s="90" t="e">
        <f t="shared" si="8"/>
        <v>#REF!</v>
      </c>
      <c r="G32" s="90" t="e">
        <f t="shared" si="3"/>
        <v>#REF!</v>
      </c>
      <c r="H32" s="90" t="e">
        <f>IF(D32="","",$E$5-SUM($E$18:E32))</f>
        <v>#REF!</v>
      </c>
      <c r="J32" s="30">
        <f t="shared" ref="J32:J41" si="9">+J31</f>
        <v>2.75E-2</v>
      </c>
      <c r="K32" s="78"/>
      <c r="L32" s="82">
        <v>3</v>
      </c>
      <c r="M32" s="18" t="s">
        <v>119</v>
      </c>
      <c r="N32" s="23">
        <v>0.16</v>
      </c>
      <c r="O32" s="51"/>
      <c r="P32" s="46" t="e">
        <f t="shared" si="4"/>
        <v>#REF!</v>
      </c>
      <c r="Q32" s="43" t="str">
        <f t="shared" si="7"/>
        <v/>
      </c>
      <c r="R32" s="33" t="e">
        <f>+#REF!</f>
        <v>#REF!</v>
      </c>
      <c r="S32" s="46">
        <v>15</v>
      </c>
      <c r="T32" s="52">
        <f>SUMIF($B$18:$B$77,$S32,$G$18:$G$77)+IF(S32&lt;13,#REF!/12,0)</f>
        <v>0</v>
      </c>
      <c r="U32" s="53">
        <f t="shared" si="5"/>
        <v>0</v>
      </c>
    </row>
    <row r="33" spans="1:21">
      <c r="A33" s="9" t="e">
        <f t="shared" si="0"/>
        <v>#REF!</v>
      </c>
      <c r="B33" s="2" t="e">
        <f t="shared" si="1"/>
        <v>#REF!</v>
      </c>
      <c r="C33" s="88">
        <v>16</v>
      </c>
      <c r="D33" s="89" t="e">
        <f t="shared" si="6"/>
        <v>#REF!</v>
      </c>
      <c r="E33" s="90" t="e">
        <f t="shared" si="2"/>
        <v>#REF!</v>
      </c>
      <c r="F33" s="90" t="e">
        <f t="shared" si="8"/>
        <v>#REF!</v>
      </c>
      <c r="G33" s="90" t="e">
        <f t="shared" si="3"/>
        <v>#REF!</v>
      </c>
      <c r="H33" s="90" t="e">
        <f>IF(D33="","",$E$5-SUM($E$18:E33))</f>
        <v>#REF!</v>
      </c>
      <c r="J33" s="30">
        <f t="shared" si="9"/>
        <v>2.75E-2</v>
      </c>
      <c r="K33" s="78"/>
      <c r="L33" s="83">
        <v>4</v>
      </c>
      <c r="M33" s="18" t="s">
        <v>116</v>
      </c>
      <c r="N33" s="23">
        <f>+N32</f>
        <v>0.16</v>
      </c>
      <c r="O33" s="51"/>
      <c r="P33" s="46" t="e">
        <f t="shared" si="4"/>
        <v>#REF!</v>
      </c>
      <c r="Q33" s="43" t="str">
        <f t="shared" si="7"/>
        <v/>
      </c>
      <c r="R33" s="33" t="e">
        <f>+#REF!</f>
        <v>#REF!</v>
      </c>
      <c r="S33" s="46">
        <v>16</v>
      </c>
      <c r="T33" s="52">
        <f>SUMIF($B$18:$B$77,$S33,$G$18:$G$77)+IF(S33&lt;13,#REF!/12,0)</f>
        <v>0</v>
      </c>
      <c r="U33" s="53">
        <f t="shared" si="5"/>
        <v>0</v>
      </c>
    </row>
    <row r="34" spans="1:21">
      <c r="A34" s="9" t="e">
        <f t="shared" si="0"/>
        <v>#REF!</v>
      </c>
      <c r="B34" s="2" t="e">
        <f t="shared" si="1"/>
        <v>#REF!</v>
      </c>
      <c r="C34" s="88">
        <v>17</v>
      </c>
      <c r="D34" s="89" t="e">
        <f t="shared" si="6"/>
        <v>#REF!</v>
      </c>
      <c r="E34" s="90" t="e">
        <f t="shared" si="2"/>
        <v>#REF!</v>
      </c>
      <c r="F34" s="90" t="e">
        <f t="shared" si="8"/>
        <v>#REF!</v>
      </c>
      <c r="G34" s="90" t="e">
        <f t="shared" ref="G34:G77" si="10">IF(B34="","",SUM(E34:F34))</f>
        <v>#REF!</v>
      </c>
      <c r="H34" s="90" t="e">
        <f>IF(D34="","",$E$5-SUM($E$18:E34))</f>
        <v>#REF!</v>
      </c>
      <c r="J34" s="30">
        <f t="shared" si="9"/>
        <v>2.75E-2</v>
      </c>
      <c r="K34" s="78"/>
      <c r="L34" s="83">
        <v>5</v>
      </c>
      <c r="M34" s="84" t="s">
        <v>117</v>
      </c>
      <c r="N34" s="66">
        <f>+N33</f>
        <v>0.16</v>
      </c>
      <c r="O34" s="51"/>
      <c r="P34" s="46" t="e">
        <f t="shared" si="4"/>
        <v>#REF!</v>
      </c>
      <c r="Q34" s="43" t="str">
        <f t="shared" si="7"/>
        <v/>
      </c>
      <c r="R34" s="33" t="e">
        <f>+#REF!</f>
        <v>#REF!</v>
      </c>
      <c r="S34" s="46">
        <v>17</v>
      </c>
      <c r="T34" s="52">
        <f>SUMIF($B$18:$B$77,$S34,$G$18:$G$77)+IF(S34&lt;13,#REF!/12,0)</f>
        <v>0</v>
      </c>
      <c r="U34" s="53">
        <f t="shared" si="5"/>
        <v>0</v>
      </c>
    </row>
    <row r="35" spans="1:21">
      <c r="A35" s="9" t="e">
        <f t="shared" si="0"/>
        <v>#REF!</v>
      </c>
      <c r="B35" s="2" t="e">
        <f t="shared" si="1"/>
        <v>#REF!</v>
      </c>
      <c r="C35" s="88">
        <v>18</v>
      </c>
      <c r="D35" s="89" t="e">
        <f t="shared" si="6"/>
        <v>#REF!</v>
      </c>
      <c r="E35" s="90" t="e">
        <f t="shared" si="2"/>
        <v>#REF!</v>
      </c>
      <c r="F35" s="90" t="e">
        <f t="shared" si="8"/>
        <v>#REF!</v>
      </c>
      <c r="G35" s="90" t="e">
        <f t="shared" si="10"/>
        <v>#REF!</v>
      </c>
      <c r="H35" s="90" t="e">
        <f>IF(D35="","",$E$5-SUM($E$18:E35))</f>
        <v>#REF!</v>
      </c>
      <c r="J35" s="30">
        <f t="shared" si="9"/>
        <v>2.75E-2</v>
      </c>
      <c r="K35" s="78"/>
      <c r="N35" s="51"/>
      <c r="O35" s="51"/>
      <c r="P35" s="46" t="e">
        <f t="shared" si="4"/>
        <v>#REF!</v>
      </c>
      <c r="Q35" s="43" t="str">
        <f t="shared" si="7"/>
        <v/>
      </c>
      <c r="R35" s="33" t="e">
        <f>+#REF!</f>
        <v>#REF!</v>
      </c>
      <c r="S35" s="46">
        <v>18</v>
      </c>
      <c r="T35" s="52">
        <f>SUMIF($B$18:$B$77,$S35,$G$18:$G$77)+IF(S35&lt;13,#REF!/12,0)</f>
        <v>0</v>
      </c>
      <c r="U35" s="53">
        <f t="shared" si="5"/>
        <v>0</v>
      </c>
    </row>
    <row r="36" spans="1:21">
      <c r="A36" s="9" t="e">
        <f t="shared" si="0"/>
        <v>#REF!</v>
      </c>
      <c r="B36" s="2" t="e">
        <f t="shared" si="1"/>
        <v>#REF!</v>
      </c>
      <c r="C36" s="88">
        <v>19</v>
      </c>
      <c r="D36" s="89" t="e">
        <f t="shared" si="6"/>
        <v>#REF!</v>
      </c>
      <c r="E36" s="90" t="e">
        <f t="shared" si="2"/>
        <v>#REF!</v>
      </c>
      <c r="F36" s="90" t="e">
        <f t="shared" si="8"/>
        <v>#REF!</v>
      </c>
      <c r="G36" s="90" t="e">
        <f t="shared" si="10"/>
        <v>#REF!</v>
      </c>
      <c r="H36" s="90" t="e">
        <f>IF(D36="","",$E$5-SUM($E$18:E36))</f>
        <v>#REF!</v>
      </c>
      <c r="J36" s="30">
        <f t="shared" si="9"/>
        <v>2.75E-2</v>
      </c>
      <c r="K36" s="78"/>
      <c r="N36" s="51"/>
      <c r="O36" s="51"/>
      <c r="P36" s="46" t="e">
        <f t="shared" si="4"/>
        <v>#REF!</v>
      </c>
      <c r="Q36" s="43" t="str">
        <f t="shared" si="7"/>
        <v/>
      </c>
      <c r="R36" s="33" t="e">
        <f>+#REF!</f>
        <v>#REF!</v>
      </c>
      <c r="S36" s="46">
        <v>19</v>
      </c>
      <c r="T36" s="52">
        <f>SUMIF($B$18:$B$77,$S36,$G$18:$G$77)+IF(S36&lt;13,#REF!/12,0)</f>
        <v>0</v>
      </c>
      <c r="U36" s="53">
        <f t="shared" si="5"/>
        <v>0</v>
      </c>
    </row>
    <row r="37" spans="1:21">
      <c r="A37" s="9" t="e">
        <f t="shared" si="0"/>
        <v>#REF!</v>
      </c>
      <c r="B37" s="2" t="e">
        <f t="shared" si="1"/>
        <v>#REF!</v>
      </c>
      <c r="C37" s="88">
        <v>20</v>
      </c>
      <c r="D37" s="89" t="e">
        <f t="shared" si="6"/>
        <v>#REF!</v>
      </c>
      <c r="E37" s="90" t="e">
        <f t="shared" si="2"/>
        <v>#REF!</v>
      </c>
      <c r="F37" s="90" t="e">
        <f t="shared" si="8"/>
        <v>#REF!</v>
      </c>
      <c r="G37" s="90" t="e">
        <f t="shared" si="10"/>
        <v>#REF!</v>
      </c>
      <c r="H37" s="90" t="e">
        <f>IF(D37="","",$E$5-SUM($E$18:E37))</f>
        <v>#REF!</v>
      </c>
      <c r="J37" s="30">
        <f t="shared" si="9"/>
        <v>2.75E-2</v>
      </c>
      <c r="K37" s="78"/>
      <c r="N37" s="51"/>
      <c r="O37" s="51"/>
      <c r="P37" s="46" t="e">
        <f t="shared" si="4"/>
        <v>#REF!</v>
      </c>
      <c r="Q37" s="43" t="str">
        <f t="shared" si="7"/>
        <v/>
      </c>
      <c r="R37" s="33" t="e">
        <f>+#REF!</f>
        <v>#REF!</v>
      </c>
      <c r="S37" s="46">
        <v>20</v>
      </c>
      <c r="T37" s="52">
        <f>SUMIF($B$18:$B$77,$S37,$G$18:$G$77)+IF(S37&lt;13,#REF!/12,0)</f>
        <v>0</v>
      </c>
      <c r="U37" s="53">
        <f t="shared" si="5"/>
        <v>0</v>
      </c>
    </row>
    <row r="38" spans="1:21">
      <c r="A38" s="9" t="e">
        <f t="shared" si="0"/>
        <v>#REF!</v>
      </c>
      <c r="B38" s="2" t="e">
        <f t="shared" si="1"/>
        <v>#REF!</v>
      </c>
      <c r="C38" s="88">
        <v>21</v>
      </c>
      <c r="D38" s="89" t="e">
        <f t="shared" si="6"/>
        <v>#REF!</v>
      </c>
      <c r="E38" s="90" t="e">
        <f t="shared" si="2"/>
        <v>#REF!</v>
      </c>
      <c r="F38" s="90" t="e">
        <f t="shared" si="8"/>
        <v>#REF!</v>
      </c>
      <c r="G38" s="90" t="e">
        <f t="shared" si="10"/>
        <v>#REF!</v>
      </c>
      <c r="H38" s="90" t="e">
        <f>IF(D38="","",$E$5-SUM($E$18:E38))</f>
        <v>#REF!</v>
      </c>
      <c r="J38" s="30">
        <f t="shared" si="9"/>
        <v>2.75E-2</v>
      </c>
      <c r="K38" s="78"/>
      <c r="N38" s="51"/>
      <c r="O38" s="51"/>
      <c r="P38" s="46" t="e">
        <f t="shared" si="4"/>
        <v>#REF!</v>
      </c>
      <c r="Q38" s="43" t="str">
        <f t="shared" si="7"/>
        <v/>
      </c>
      <c r="R38" s="33" t="e">
        <f>+#REF!</f>
        <v>#REF!</v>
      </c>
      <c r="S38" s="46">
        <v>21</v>
      </c>
      <c r="T38" s="52">
        <f>SUMIF($B$18:$B$77,$S38,$G$18:$G$77)+IF(S38&lt;13,#REF!/12,0)</f>
        <v>0</v>
      </c>
      <c r="U38" s="53">
        <f t="shared" si="5"/>
        <v>0</v>
      </c>
    </row>
    <row r="39" spans="1:21">
      <c r="A39" s="9" t="e">
        <f t="shared" si="0"/>
        <v>#REF!</v>
      </c>
      <c r="B39" s="2" t="e">
        <f t="shared" si="1"/>
        <v>#REF!</v>
      </c>
      <c r="C39" s="88">
        <v>22</v>
      </c>
      <c r="D39" s="89" t="e">
        <f t="shared" si="6"/>
        <v>#REF!</v>
      </c>
      <c r="E39" s="90" t="e">
        <f t="shared" si="2"/>
        <v>#REF!</v>
      </c>
      <c r="F39" s="90" t="e">
        <f t="shared" si="8"/>
        <v>#REF!</v>
      </c>
      <c r="G39" s="90" t="e">
        <f t="shared" si="10"/>
        <v>#REF!</v>
      </c>
      <c r="H39" s="90" t="e">
        <f>IF(D39="","",$E$5-SUM($E$18:E39))</f>
        <v>#REF!</v>
      </c>
      <c r="J39" s="30">
        <f t="shared" si="9"/>
        <v>2.75E-2</v>
      </c>
      <c r="K39" s="78"/>
      <c r="N39" s="51"/>
      <c r="O39" s="51"/>
      <c r="P39" s="46" t="e">
        <f t="shared" si="4"/>
        <v>#REF!</v>
      </c>
      <c r="Q39" s="43" t="str">
        <f t="shared" si="7"/>
        <v/>
      </c>
      <c r="R39" s="33" t="e">
        <f>+#REF!</f>
        <v>#REF!</v>
      </c>
      <c r="S39" s="46">
        <v>22</v>
      </c>
      <c r="T39" s="52">
        <f>SUMIF($B$18:$B$77,$S39,$G$18:$G$77)+IF(S39&lt;13,#REF!/12,0)</f>
        <v>0</v>
      </c>
      <c r="U39" s="53">
        <f t="shared" si="5"/>
        <v>0</v>
      </c>
    </row>
    <row r="40" spans="1:21">
      <c r="A40" s="9" t="e">
        <f t="shared" si="0"/>
        <v>#REF!</v>
      </c>
      <c r="B40" s="2" t="e">
        <f t="shared" si="1"/>
        <v>#REF!</v>
      </c>
      <c r="C40" s="88">
        <v>23</v>
      </c>
      <c r="D40" s="89" t="e">
        <f t="shared" si="6"/>
        <v>#REF!</v>
      </c>
      <c r="E40" s="90" t="e">
        <f t="shared" si="2"/>
        <v>#REF!</v>
      </c>
      <c r="F40" s="90" t="e">
        <f t="shared" si="8"/>
        <v>#REF!</v>
      </c>
      <c r="G40" s="90" t="e">
        <f t="shared" si="10"/>
        <v>#REF!</v>
      </c>
      <c r="H40" s="90" t="e">
        <f>IF(D40="","",$E$5-SUM($E$18:E40))</f>
        <v>#REF!</v>
      </c>
      <c r="J40" s="30">
        <f t="shared" si="9"/>
        <v>2.75E-2</v>
      </c>
      <c r="K40" s="78"/>
      <c r="N40" s="51"/>
      <c r="O40" s="51"/>
      <c r="P40" s="46" t="e">
        <f t="shared" si="4"/>
        <v>#REF!</v>
      </c>
      <c r="Q40" s="43" t="str">
        <f t="shared" si="7"/>
        <v/>
      </c>
      <c r="R40" s="33" t="e">
        <f>+#REF!</f>
        <v>#REF!</v>
      </c>
      <c r="S40" s="46">
        <v>23</v>
      </c>
      <c r="T40" s="52">
        <f>SUMIF($B$18:$B$77,$S40,$G$18:$G$77)+IF(S40&lt;13,#REF!/12,0)</f>
        <v>0</v>
      </c>
      <c r="U40" s="53">
        <f t="shared" si="5"/>
        <v>0</v>
      </c>
    </row>
    <row r="41" spans="1:21">
      <c r="A41" s="9" t="e">
        <f t="shared" si="0"/>
        <v>#REF!</v>
      </c>
      <c r="B41" s="2" t="e">
        <f t="shared" si="1"/>
        <v>#REF!</v>
      </c>
      <c r="C41" s="88">
        <v>24</v>
      </c>
      <c r="D41" s="89" t="e">
        <f t="shared" si="6"/>
        <v>#REF!</v>
      </c>
      <c r="E41" s="90" t="e">
        <f t="shared" si="2"/>
        <v>#REF!</v>
      </c>
      <c r="F41" s="90" t="e">
        <f t="shared" si="8"/>
        <v>#REF!</v>
      </c>
      <c r="G41" s="90" t="e">
        <f t="shared" si="10"/>
        <v>#REF!</v>
      </c>
      <c r="H41" s="90" t="e">
        <f>IF(D41="","",$E$5-SUM($E$18:E41))</f>
        <v>#REF!</v>
      </c>
      <c r="J41" s="31">
        <f t="shared" si="9"/>
        <v>2.75E-2</v>
      </c>
      <c r="K41" s="78"/>
      <c r="N41" s="49"/>
      <c r="O41" s="49"/>
      <c r="P41" s="46" t="e">
        <f t="shared" si="4"/>
        <v>#REF!</v>
      </c>
      <c r="Q41" s="43" t="str">
        <f t="shared" si="7"/>
        <v/>
      </c>
      <c r="R41" s="33" t="e">
        <f>+#REF!</f>
        <v>#REF!</v>
      </c>
      <c r="S41" s="46">
        <v>24</v>
      </c>
      <c r="T41" s="52">
        <f>SUMIF($B$18:$B$77,$S41,$G$18:$G$77)+IF(S41&lt;13,#REF!/12,0)</f>
        <v>0</v>
      </c>
      <c r="U41" s="53">
        <f t="shared" si="5"/>
        <v>0</v>
      </c>
    </row>
    <row r="42" spans="1:21">
      <c r="A42" s="9" t="e">
        <f t="shared" si="0"/>
        <v>#REF!</v>
      </c>
      <c r="B42" s="2" t="e">
        <f t="shared" si="1"/>
        <v>#REF!</v>
      </c>
      <c r="C42" s="88">
        <v>25</v>
      </c>
      <c r="D42" s="89" t="e">
        <f t="shared" si="6"/>
        <v>#REF!</v>
      </c>
      <c r="E42" s="90" t="e">
        <f t="shared" si="2"/>
        <v>#REF!</v>
      </c>
      <c r="F42" s="90" t="e">
        <f t="shared" si="8"/>
        <v>#REF!</v>
      </c>
      <c r="G42" s="90" t="e">
        <f t="shared" si="10"/>
        <v>#REF!</v>
      </c>
      <c r="H42" s="90" t="e">
        <f>IF(D42="","",$E$5-SUM($E$18:E42))</f>
        <v>#REF!</v>
      </c>
      <c r="J42" s="30">
        <v>3.5000000000000003E-2</v>
      </c>
      <c r="K42" s="78"/>
      <c r="N42" s="40"/>
      <c r="O42" s="40"/>
      <c r="P42" s="46" t="e">
        <f t="shared" si="4"/>
        <v>#REF!</v>
      </c>
      <c r="Q42" s="43" t="str">
        <f t="shared" si="7"/>
        <v/>
      </c>
      <c r="R42" s="33" t="e">
        <f>+#REF!</f>
        <v>#REF!</v>
      </c>
      <c r="S42" s="46">
        <v>25</v>
      </c>
      <c r="T42" s="52">
        <f>SUMIF($B$18:$B$77,$S42,$G$18:$G$77)+IF(S42&lt;13,#REF!/12,0)</f>
        <v>0</v>
      </c>
      <c r="U42" s="53">
        <f t="shared" si="5"/>
        <v>0</v>
      </c>
    </row>
    <row r="43" spans="1:21">
      <c r="A43" s="9" t="e">
        <f t="shared" si="0"/>
        <v>#REF!</v>
      </c>
      <c r="B43" s="2" t="e">
        <f t="shared" si="1"/>
        <v>#REF!</v>
      </c>
      <c r="C43" s="88">
        <v>26</v>
      </c>
      <c r="D43" s="89" t="e">
        <f t="shared" si="6"/>
        <v>#REF!</v>
      </c>
      <c r="E43" s="90" t="e">
        <f t="shared" si="2"/>
        <v>#REF!</v>
      </c>
      <c r="F43" s="90" t="e">
        <f t="shared" si="8"/>
        <v>#REF!</v>
      </c>
      <c r="G43" s="90" t="e">
        <f t="shared" si="10"/>
        <v>#REF!</v>
      </c>
      <c r="H43" s="90" t="e">
        <f>IF(D43="","",$E$5-SUM($E$18:E43))</f>
        <v>#REF!</v>
      </c>
      <c r="J43" s="30">
        <f>+J42</f>
        <v>3.5000000000000003E-2</v>
      </c>
      <c r="K43" s="78"/>
      <c r="N43" s="40"/>
      <c r="O43" s="40"/>
      <c r="P43" s="46" t="e">
        <f t="shared" si="4"/>
        <v>#REF!</v>
      </c>
      <c r="Q43" s="43" t="str">
        <f t="shared" si="7"/>
        <v/>
      </c>
      <c r="R43" s="33" t="e">
        <f>+#REF!</f>
        <v>#REF!</v>
      </c>
      <c r="S43" s="46">
        <v>26</v>
      </c>
      <c r="T43" s="52">
        <f>SUMIF($B$18:$B$77,$S43,$G$18:$G$77)+IF(S43&lt;13,#REF!/12,0)</f>
        <v>0</v>
      </c>
      <c r="U43" s="53">
        <f t="shared" si="5"/>
        <v>0</v>
      </c>
    </row>
    <row r="44" spans="1:21">
      <c r="A44" s="9" t="e">
        <f t="shared" si="0"/>
        <v>#REF!</v>
      </c>
      <c r="B44" s="2" t="e">
        <f t="shared" si="1"/>
        <v>#REF!</v>
      </c>
      <c r="C44" s="88">
        <v>27</v>
      </c>
      <c r="D44" s="89" t="e">
        <f t="shared" si="6"/>
        <v>#REF!</v>
      </c>
      <c r="E44" s="90" t="e">
        <f t="shared" si="2"/>
        <v>#REF!</v>
      </c>
      <c r="F44" s="90" t="e">
        <f t="shared" si="8"/>
        <v>#REF!</v>
      </c>
      <c r="G44" s="90" t="e">
        <f t="shared" si="10"/>
        <v>#REF!</v>
      </c>
      <c r="H44" s="90" t="e">
        <f>IF(D44="","",$E$5-SUM($E$18:E44))</f>
        <v>#REF!</v>
      </c>
      <c r="J44" s="30">
        <f t="shared" ref="J44:J52" si="11">+J43</f>
        <v>3.5000000000000003E-2</v>
      </c>
      <c r="K44" s="78"/>
      <c r="N44" s="40"/>
      <c r="O44" s="40"/>
      <c r="P44" s="46" t="e">
        <f t="shared" si="4"/>
        <v>#REF!</v>
      </c>
      <c r="Q44" s="43" t="str">
        <f t="shared" si="7"/>
        <v/>
      </c>
      <c r="R44" s="33" t="e">
        <f>+#REF!</f>
        <v>#REF!</v>
      </c>
      <c r="S44" s="46">
        <v>27</v>
      </c>
      <c r="T44" s="52">
        <f>SUMIF($B$18:$B$77,$S44,$G$18:$G$77)+IF(S44&lt;13,#REF!/12,0)</f>
        <v>0</v>
      </c>
      <c r="U44" s="53">
        <f t="shared" si="5"/>
        <v>0</v>
      </c>
    </row>
    <row r="45" spans="1:21">
      <c r="A45" s="9" t="e">
        <f t="shared" si="0"/>
        <v>#REF!</v>
      </c>
      <c r="B45" s="2" t="e">
        <f t="shared" si="1"/>
        <v>#REF!</v>
      </c>
      <c r="C45" s="88">
        <v>28</v>
      </c>
      <c r="D45" s="89" t="e">
        <f t="shared" si="6"/>
        <v>#REF!</v>
      </c>
      <c r="E45" s="90" t="e">
        <f t="shared" si="2"/>
        <v>#REF!</v>
      </c>
      <c r="F45" s="90" t="e">
        <f t="shared" si="8"/>
        <v>#REF!</v>
      </c>
      <c r="G45" s="90" t="e">
        <f t="shared" si="10"/>
        <v>#REF!</v>
      </c>
      <c r="H45" s="90" t="e">
        <f>IF(D45="","",$E$5-SUM($E$18:E45))</f>
        <v>#REF!</v>
      </c>
      <c r="J45" s="30">
        <f t="shared" si="11"/>
        <v>3.5000000000000003E-2</v>
      </c>
      <c r="K45" s="78"/>
      <c r="N45" s="40"/>
      <c r="O45" s="40"/>
      <c r="P45" s="46" t="e">
        <f t="shared" si="4"/>
        <v>#REF!</v>
      </c>
      <c r="Q45" s="43" t="str">
        <f t="shared" si="7"/>
        <v/>
      </c>
      <c r="R45" s="33" t="e">
        <f>+#REF!</f>
        <v>#REF!</v>
      </c>
      <c r="S45" s="46">
        <v>28</v>
      </c>
      <c r="T45" s="52">
        <f>SUMIF($B$18:$B$77,$S45,$G$18:$G$77)+IF(S45&lt;13,#REF!/12,0)</f>
        <v>0</v>
      </c>
      <c r="U45" s="53">
        <f t="shared" si="5"/>
        <v>0</v>
      </c>
    </row>
    <row r="46" spans="1:21">
      <c r="A46" s="9" t="e">
        <f t="shared" si="0"/>
        <v>#REF!</v>
      </c>
      <c r="B46" s="2" t="e">
        <f t="shared" si="1"/>
        <v>#REF!</v>
      </c>
      <c r="C46" s="88">
        <v>29</v>
      </c>
      <c r="D46" s="89" t="e">
        <f t="shared" si="6"/>
        <v>#REF!</v>
      </c>
      <c r="E46" s="90" t="e">
        <f t="shared" si="2"/>
        <v>#REF!</v>
      </c>
      <c r="F46" s="90" t="e">
        <f t="shared" si="8"/>
        <v>#REF!</v>
      </c>
      <c r="G46" s="90" t="e">
        <f t="shared" si="10"/>
        <v>#REF!</v>
      </c>
      <c r="H46" s="90" t="e">
        <f>IF(D46="","",$E$5-SUM($E$18:E46))</f>
        <v>#REF!</v>
      </c>
      <c r="J46" s="30">
        <f t="shared" si="11"/>
        <v>3.5000000000000003E-2</v>
      </c>
      <c r="K46" s="78"/>
      <c r="N46" s="40"/>
      <c r="O46" s="40"/>
      <c r="P46" s="46" t="e">
        <f t="shared" si="4"/>
        <v>#REF!</v>
      </c>
      <c r="Q46" s="43" t="str">
        <f t="shared" si="7"/>
        <v/>
      </c>
      <c r="R46" s="33" t="e">
        <f>+#REF!</f>
        <v>#REF!</v>
      </c>
      <c r="S46" s="46">
        <v>29</v>
      </c>
      <c r="T46" s="52">
        <f>SUMIF($B$18:$B$77,$S46,$G$18:$G$77)+IF(S46&lt;13,#REF!/12,0)</f>
        <v>0</v>
      </c>
      <c r="U46" s="53">
        <f t="shared" si="5"/>
        <v>0</v>
      </c>
    </row>
    <row r="47" spans="1:21">
      <c r="A47" s="9" t="e">
        <f t="shared" si="0"/>
        <v>#REF!</v>
      </c>
      <c r="B47" s="2" t="e">
        <f t="shared" si="1"/>
        <v>#REF!</v>
      </c>
      <c r="C47" s="88">
        <v>30</v>
      </c>
      <c r="D47" s="89" t="e">
        <f t="shared" si="6"/>
        <v>#REF!</v>
      </c>
      <c r="E47" s="90" t="e">
        <f t="shared" si="2"/>
        <v>#REF!</v>
      </c>
      <c r="F47" s="90" t="e">
        <f t="shared" si="8"/>
        <v>#REF!</v>
      </c>
      <c r="G47" s="90" t="e">
        <f t="shared" si="10"/>
        <v>#REF!</v>
      </c>
      <c r="H47" s="90" t="e">
        <f>IF(D47="","",$E$5-SUM($E$18:E47))</f>
        <v>#REF!</v>
      </c>
      <c r="J47" s="30">
        <f t="shared" si="11"/>
        <v>3.5000000000000003E-2</v>
      </c>
      <c r="K47" s="78"/>
      <c r="N47" s="40"/>
      <c r="O47" s="40"/>
      <c r="P47" s="46" t="e">
        <f t="shared" si="4"/>
        <v>#REF!</v>
      </c>
      <c r="Q47" s="43" t="str">
        <f t="shared" si="7"/>
        <v/>
      </c>
      <c r="R47" s="33" t="e">
        <f>+#REF!</f>
        <v>#REF!</v>
      </c>
      <c r="S47" s="46">
        <v>30</v>
      </c>
      <c r="T47" s="52">
        <f>SUMIF($B$18:$B$77,$S47,$G$18:$G$77)+IF(S47&lt;13,#REF!/12,0)</f>
        <v>0</v>
      </c>
      <c r="U47" s="53">
        <f t="shared" si="5"/>
        <v>0</v>
      </c>
    </row>
    <row r="48" spans="1:21">
      <c r="A48" s="9" t="e">
        <f t="shared" si="0"/>
        <v>#REF!</v>
      </c>
      <c r="B48" s="2" t="e">
        <f t="shared" si="1"/>
        <v>#REF!</v>
      </c>
      <c r="C48" s="88">
        <v>31</v>
      </c>
      <c r="D48" s="89" t="e">
        <f t="shared" si="6"/>
        <v>#REF!</v>
      </c>
      <c r="E48" s="90" t="e">
        <f t="shared" si="2"/>
        <v>#REF!</v>
      </c>
      <c r="F48" s="90" t="e">
        <f t="shared" si="8"/>
        <v>#REF!</v>
      </c>
      <c r="G48" s="90" t="e">
        <f t="shared" si="10"/>
        <v>#REF!</v>
      </c>
      <c r="H48" s="90" t="e">
        <f>IF(D48="","",$E$5-SUM($E$18:E48))</f>
        <v>#REF!</v>
      </c>
      <c r="J48" s="30">
        <f t="shared" si="11"/>
        <v>3.5000000000000003E-2</v>
      </c>
      <c r="K48" s="78"/>
      <c r="N48" s="40"/>
      <c r="O48" s="40"/>
      <c r="P48" s="46" t="e">
        <f t="shared" si="4"/>
        <v>#REF!</v>
      </c>
      <c r="Q48" s="43" t="str">
        <f t="shared" si="7"/>
        <v/>
      </c>
      <c r="R48" s="33" t="e">
        <f>+#REF!</f>
        <v>#REF!</v>
      </c>
      <c r="S48" s="46">
        <v>31</v>
      </c>
      <c r="T48" s="52">
        <f>SUMIF($B$18:$B$77,$S48,$G$18:$G$77)+IF(S48&lt;13,#REF!/12,0)</f>
        <v>0</v>
      </c>
      <c r="U48" s="53">
        <f t="shared" si="5"/>
        <v>0</v>
      </c>
    </row>
    <row r="49" spans="1:21">
      <c r="A49" s="9" t="e">
        <f t="shared" si="0"/>
        <v>#REF!</v>
      </c>
      <c r="B49" s="2" t="e">
        <f t="shared" si="1"/>
        <v>#REF!</v>
      </c>
      <c r="C49" s="88">
        <v>32</v>
      </c>
      <c r="D49" s="89" t="e">
        <f t="shared" si="6"/>
        <v>#REF!</v>
      </c>
      <c r="E49" s="90" t="e">
        <f t="shared" si="2"/>
        <v>#REF!</v>
      </c>
      <c r="F49" s="90" t="e">
        <f t="shared" si="8"/>
        <v>#REF!</v>
      </c>
      <c r="G49" s="90" t="e">
        <f t="shared" si="10"/>
        <v>#REF!</v>
      </c>
      <c r="H49" s="90" t="e">
        <f>IF(D49="","",$E$5-SUM($E$18:E49))</f>
        <v>#REF!</v>
      </c>
      <c r="J49" s="30">
        <f t="shared" si="11"/>
        <v>3.5000000000000003E-2</v>
      </c>
      <c r="K49" s="78"/>
      <c r="N49" s="40"/>
      <c r="O49" s="40"/>
      <c r="P49" s="46" t="e">
        <f t="shared" si="4"/>
        <v>#REF!</v>
      </c>
      <c r="Q49" s="43" t="str">
        <f t="shared" si="7"/>
        <v/>
      </c>
      <c r="R49" s="33" t="e">
        <f>+#REF!</f>
        <v>#REF!</v>
      </c>
      <c r="S49" s="46">
        <v>32</v>
      </c>
      <c r="T49" s="52">
        <f>SUMIF($B$18:$B$77,$S49,$G$18:$G$77)+IF(S49&lt;13,#REF!/12,0)</f>
        <v>0</v>
      </c>
      <c r="U49" s="53">
        <f t="shared" si="5"/>
        <v>0</v>
      </c>
    </row>
    <row r="50" spans="1:21">
      <c r="A50" s="9" t="e">
        <f t="shared" si="0"/>
        <v>#REF!</v>
      </c>
      <c r="B50" s="2" t="e">
        <f t="shared" si="1"/>
        <v>#REF!</v>
      </c>
      <c r="C50" s="88">
        <v>33</v>
      </c>
      <c r="D50" s="89" t="e">
        <f t="shared" si="6"/>
        <v>#REF!</v>
      </c>
      <c r="E50" s="90" t="e">
        <f t="shared" si="2"/>
        <v>#REF!</v>
      </c>
      <c r="F50" s="90" t="e">
        <f t="shared" si="8"/>
        <v>#REF!</v>
      </c>
      <c r="G50" s="90" t="e">
        <f t="shared" si="10"/>
        <v>#REF!</v>
      </c>
      <c r="H50" s="90" t="e">
        <f>IF(D50="","",$E$5-SUM($E$18:E50))</f>
        <v>#REF!</v>
      </c>
      <c r="J50" s="30">
        <f t="shared" si="11"/>
        <v>3.5000000000000003E-2</v>
      </c>
      <c r="K50" s="78"/>
      <c r="N50" s="40"/>
      <c r="O50" s="40"/>
      <c r="P50" s="46" t="e">
        <f t="shared" si="4"/>
        <v>#REF!</v>
      </c>
      <c r="Q50" s="43" t="str">
        <f t="shared" si="7"/>
        <v/>
      </c>
      <c r="R50" s="33" t="e">
        <f>+#REF!</f>
        <v>#REF!</v>
      </c>
      <c r="S50" s="46">
        <v>33</v>
      </c>
      <c r="T50" s="52">
        <f>SUMIF($B$18:$B$77,$S50,$G$18:$G$77)+IF(S50&lt;13,#REF!/12,0)</f>
        <v>0</v>
      </c>
      <c r="U50" s="53">
        <f t="shared" si="5"/>
        <v>0</v>
      </c>
    </row>
    <row r="51" spans="1:21">
      <c r="A51" s="9" t="e">
        <f t="shared" si="0"/>
        <v>#REF!</v>
      </c>
      <c r="B51" s="2" t="e">
        <f t="shared" si="1"/>
        <v>#REF!</v>
      </c>
      <c r="C51" s="88">
        <v>34</v>
      </c>
      <c r="D51" s="89" t="e">
        <f t="shared" ref="D51:D77" si="12">IF(B51="","",DATE(YEAR(D50),MONTH(D50)+VLOOKUP($E$12,$L$20:$M$24,2,FALSE),DAY(Fecha_Emision_Def)))</f>
        <v>#REF!</v>
      </c>
      <c r="E51" s="90" t="e">
        <f t="shared" si="2"/>
        <v>#REF!</v>
      </c>
      <c r="F51" s="90" t="e">
        <f t="shared" si="8"/>
        <v>#REF!</v>
      </c>
      <c r="G51" s="90" t="e">
        <f t="shared" si="10"/>
        <v>#REF!</v>
      </c>
      <c r="H51" s="90" t="e">
        <f>IF(D51="","",$E$5-SUM($E$18:E51))</f>
        <v>#REF!</v>
      </c>
      <c r="J51" s="30">
        <f t="shared" si="11"/>
        <v>3.5000000000000003E-2</v>
      </c>
      <c r="K51" s="78"/>
      <c r="N51" s="40"/>
      <c r="O51" s="40"/>
      <c r="P51" s="46" t="e">
        <f t="shared" si="4"/>
        <v>#REF!</v>
      </c>
      <c r="Q51" s="43" t="str">
        <f t="shared" si="7"/>
        <v/>
      </c>
      <c r="R51" s="33" t="e">
        <f>+#REF!</f>
        <v>#REF!</v>
      </c>
      <c r="S51" s="46">
        <v>34</v>
      </c>
      <c r="T51" s="52">
        <f>SUMIF($B$18:$B$77,$S51,$G$18:$G$77)+IF(S51&lt;13,#REF!/12,0)</f>
        <v>0</v>
      </c>
      <c r="U51" s="53">
        <f t="shared" si="5"/>
        <v>0</v>
      </c>
    </row>
    <row r="52" spans="1:21">
      <c r="A52" s="9" t="e">
        <f t="shared" si="0"/>
        <v>#REF!</v>
      </c>
      <c r="B52" s="2" t="e">
        <f t="shared" si="1"/>
        <v>#REF!</v>
      </c>
      <c r="C52" s="88">
        <v>35</v>
      </c>
      <c r="D52" s="89" t="e">
        <f t="shared" si="12"/>
        <v>#REF!</v>
      </c>
      <c r="E52" s="90" t="e">
        <f t="shared" si="2"/>
        <v>#REF!</v>
      </c>
      <c r="F52" s="90" t="e">
        <f t="shared" si="8"/>
        <v>#REF!</v>
      </c>
      <c r="G52" s="90" t="e">
        <f t="shared" si="10"/>
        <v>#REF!</v>
      </c>
      <c r="H52" s="90" t="e">
        <f>IF(D52="","",$E$5-SUM($E$18:E52))</f>
        <v>#REF!</v>
      </c>
      <c r="J52" s="30">
        <f t="shared" si="11"/>
        <v>3.5000000000000003E-2</v>
      </c>
      <c r="K52" s="78"/>
      <c r="N52" s="40"/>
      <c r="O52" s="40"/>
      <c r="P52" s="46" t="e">
        <f t="shared" si="4"/>
        <v>#REF!</v>
      </c>
      <c r="Q52" s="43" t="str">
        <f t="shared" si="7"/>
        <v/>
      </c>
      <c r="R52" s="33" t="e">
        <f>+#REF!</f>
        <v>#REF!</v>
      </c>
      <c r="S52" s="46">
        <v>35</v>
      </c>
      <c r="T52" s="52">
        <f>SUMIF($B$18:$B$77,$S52,$G$18:$G$77)+IF(S52&lt;13,#REF!/12,0)</f>
        <v>0</v>
      </c>
      <c r="U52" s="53">
        <f t="shared" si="5"/>
        <v>0</v>
      </c>
    </row>
    <row r="53" spans="1:21">
      <c r="A53" s="9" t="e">
        <f t="shared" si="0"/>
        <v>#REF!</v>
      </c>
      <c r="B53" s="2" t="e">
        <f t="shared" si="1"/>
        <v>#REF!</v>
      </c>
      <c r="C53" s="88">
        <v>36</v>
      </c>
      <c r="D53" s="89" t="e">
        <f t="shared" si="12"/>
        <v>#REF!</v>
      </c>
      <c r="E53" s="90" t="e">
        <f t="shared" si="2"/>
        <v>#REF!</v>
      </c>
      <c r="F53" s="90" t="e">
        <f t="shared" si="8"/>
        <v>#REF!</v>
      </c>
      <c r="G53" s="90" t="e">
        <f t="shared" si="10"/>
        <v>#REF!</v>
      </c>
      <c r="H53" s="90" t="e">
        <f>IF(D53="","",$E$5-SUM($E$18:E53))</f>
        <v>#REF!</v>
      </c>
      <c r="J53" s="31">
        <v>4.4999999999999998E-2</v>
      </c>
      <c r="K53" s="78"/>
      <c r="N53" s="40"/>
      <c r="O53" s="40"/>
      <c r="P53" s="46" t="e">
        <f t="shared" si="4"/>
        <v>#REF!</v>
      </c>
      <c r="Q53" s="43" t="str">
        <f t="shared" si="7"/>
        <v/>
      </c>
      <c r="R53" s="33" t="e">
        <f>+#REF!</f>
        <v>#REF!</v>
      </c>
      <c r="S53" s="46">
        <v>36</v>
      </c>
      <c r="T53" s="52">
        <f>SUMIF($B$18:$B$77,$S53,$G$18:$G$77)+IF(S53&lt;13,#REF!/12,0)</f>
        <v>0</v>
      </c>
      <c r="U53" s="53">
        <f t="shared" si="5"/>
        <v>0</v>
      </c>
    </row>
    <row r="54" spans="1:21">
      <c r="A54" s="9" t="e">
        <f t="shared" si="0"/>
        <v>#REF!</v>
      </c>
      <c r="B54" s="2" t="e">
        <f t="shared" si="1"/>
        <v>#REF!</v>
      </c>
      <c r="C54" s="88">
        <v>37</v>
      </c>
      <c r="D54" s="89" t="e">
        <f t="shared" si="12"/>
        <v>#REF!</v>
      </c>
      <c r="E54" s="90" t="e">
        <f t="shared" si="2"/>
        <v>#REF!</v>
      </c>
      <c r="F54" s="90" t="e">
        <f t="shared" si="8"/>
        <v>#REF!</v>
      </c>
      <c r="G54" s="90" t="e">
        <f t="shared" si="10"/>
        <v>#REF!</v>
      </c>
      <c r="H54" s="90" t="e">
        <f>IF(D54="","",$E$5-SUM($E$18:E54))</f>
        <v>#REF!</v>
      </c>
      <c r="J54" s="12"/>
      <c r="K54" s="79"/>
      <c r="P54" s="46" t="e">
        <f t="shared" si="4"/>
        <v>#REF!</v>
      </c>
      <c r="Q54" s="43" t="str">
        <f t="shared" si="7"/>
        <v/>
      </c>
      <c r="R54" s="33" t="e">
        <f>+#REF!</f>
        <v>#REF!</v>
      </c>
      <c r="S54" s="46">
        <v>37</v>
      </c>
      <c r="T54" s="52">
        <f>SUMIF($B$18:$B$77,$S54,$G$18:$G$77)+IF(S54&lt;13,#REF!/12,0)</f>
        <v>0</v>
      </c>
      <c r="U54" s="53">
        <f t="shared" si="5"/>
        <v>0</v>
      </c>
    </row>
    <row r="55" spans="1:21">
      <c r="A55" s="9" t="e">
        <f t="shared" si="0"/>
        <v>#REF!</v>
      </c>
      <c r="B55" s="2" t="e">
        <f t="shared" si="1"/>
        <v>#REF!</v>
      </c>
      <c r="C55" s="88">
        <v>38</v>
      </c>
      <c r="D55" s="89" t="e">
        <f t="shared" si="12"/>
        <v>#REF!</v>
      </c>
      <c r="E55" s="90" t="e">
        <f t="shared" si="2"/>
        <v>#REF!</v>
      </c>
      <c r="F55" s="90" t="e">
        <f t="shared" si="8"/>
        <v>#REF!</v>
      </c>
      <c r="G55" s="90" t="e">
        <f t="shared" si="10"/>
        <v>#REF!</v>
      </c>
      <c r="H55" s="90" t="e">
        <f>IF(D55="","",$E$5-SUM($E$18:E55))</f>
        <v>#REF!</v>
      </c>
      <c r="J55" s="12"/>
      <c r="K55" s="79"/>
      <c r="P55" s="46" t="e">
        <f t="shared" si="4"/>
        <v>#REF!</v>
      </c>
      <c r="Q55" s="43" t="str">
        <f t="shared" si="7"/>
        <v/>
      </c>
      <c r="R55" s="33" t="e">
        <f>+#REF!</f>
        <v>#REF!</v>
      </c>
      <c r="S55" s="46">
        <v>38</v>
      </c>
      <c r="T55" s="52">
        <f>SUMIF($B$18:$B$77,$S55,$G$18:$G$77)+IF(S55&lt;13,#REF!/12,0)</f>
        <v>0</v>
      </c>
      <c r="U55" s="53">
        <f t="shared" si="5"/>
        <v>0</v>
      </c>
    </row>
    <row r="56" spans="1:21">
      <c r="A56" s="9" t="e">
        <f t="shared" si="0"/>
        <v>#REF!</v>
      </c>
      <c r="B56" s="2" t="e">
        <f t="shared" si="1"/>
        <v>#REF!</v>
      </c>
      <c r="C56" s="88">
        <v>39</v>
      </c>
      <c r="D56" s="89" t="e">
        <f t="shared" si="12"/>
        <v>#REF!</v>
      </c>
      <c r="E56" s="90" t="e">
        <f t="shared" si="2"/>
        <v>#REF!</v>
      </c>
      <c r="F56" s="90" t="e">
        <f t="shared" si="8"/>
        <v>#REF!</v>
      </c>
      <c r="G56" s="90" t="e">
        <f t="shared" si="10"/>
        <v>#REF!</v>
      </c>
      <c r="H56" s="90" t="e">
        <f>IF(D56="","",$E$5-SUM($E$18:E56))</f>
        <v>#REF!</v>
      </c>
      <c r="J56" s="12"/>
      <c r="K56" s="79"/>
      <c r="P56" s="46" t="e">
        <f t="shared" si="4"/>
        <v>#REF!</v>
      </c>
      <c r="Q56" s="43" t="str">
        <f t="shared" si="7"/>
        <v/>
      </c>
      <c r="R56" s="33" t="e">
        <f>+#REF!</f>
        <v>#REF!</v>
      </c>
      <c r="S56" s="46">
        <v>39</v>
      </c>
      <c r="T56" s="52">
        <f>SUMIF($B$18:$B$77,$S56,$G$18:$G$77)+IF(S56&lt;13,#REF!/12,0)</f>
        <v>0</v>
      </c>
      <c r="U56" s="53">
        <f t="shared" si="5"/>
        <v>0</v>
      </c>
    </row>
    <row r="57" spans="1:21">
      <c r="A57" s="9" t="e">
        <f t="shared" si="0"/>
        <v>#REF!</v>
      </c>
      <c r="B57" s="2" t="e">
        <f t="shared" si="1"/>
        <v>#REF!</v>
      </c>
      <c r="C57" s="88">
        <v>40</v>
      </c>
      <c r="D57" s="89" t="e">
        <f t="shared" si="12"/>
        <v>#REF!</v>
      </c>
      <c r="E57" s="90" t="e">
        <f t="shared" si="2"/>
        <v>#REF!</v>
      </c>
      <c r="F57" s="90" t="e">
        <f t="shared" si="8"/>
        <v>#REF!</v>
      </c>
      <c r="G57" s="90" t="e">
        <f t="shared" si="10"/>
        <v>#REF!</v>
      </c>
      <c r="H57" s="90" t="e">
        <f>IF(D57="","",$E$5-SUM($E$18:E57))</f>
        <v>#REF!</v>
      </c>
      <c r="J57" s="12"/>
      <c r="K57" s="79"/>
      <c r="P57" s="46" t="e">
        <f t="shared" si="4"/>
        <v>#REF!</v>
      </c>
      <c r="Q57" s="43" t="str">
        <f t="shared" si="7"/>
        <v/>
      </c>
      <c r="R57" s="33" t="e">
        <f>+#REF!</f>
        <v>#REF!</v>
      </c>
      <c r="S57" s="46">
        <v>40</v>
      </c>
      <c r="T57" s="52">
        <f>SUMIF($B$18:$B$77,$S57,$G$18:$G$77)+IF(S57&lt;13,#REF!/12,0)</f>
        <v>0</v>
      </c>
      <c r="U57" s="53">
        <f t="shared" si="5"/>
        <v>0</v>
      </c>
    </row>
    <row r="58" spans="1:21">
      <c r="A58" s="9" t="e">
        <f t="shared" si="0"/>
        <v>#REF!</v>
      </c>
      <c r="B58" s="2" t="e">
        <f t="shared" si="1"/>
        <v>#REF!</v>
      </c>
      <c r="C58" s="88">
        <v>41</v>
      </c>
      <c r="D58" s="89" t="e">
        <f t="shared" si="12"/>
        <v>#REF!</v>
      </c>
      <c r="E58" s="90" t="e">
        <f t="shared" si="2"/>
        <v>#REF!</v>
      </c>
      <c r="F58" s="90" t="e">
        <f t="shared" si="8"/>
        <v>#REF!</v>
      </c>
      <c r="G58" s="90" t="e">
        <f t="shared" si="10"/>
        <v>#REF!</v>
      </c>
      <c r="H58" s="90" t="e">
        <f>IF(D58="","",$E$5-SUM($E$18:E58))</f>
        <v>#REF!</v>
      </c>
      <c r="J58" s="12"/>
      <c r="K58" s="79"/>
      <c r="P58" s="46" t="e">
        <f t="shared" si="4"/>
        <v>#REF!</v>
      </c>
      <c r="Q58" s="43" t="str">
        <f t="shared" si="7"/>
        <v/>
      </c>
      <c r="R58" s="33" t="e">
        <f>+#REF!</f>
        <v>#REF!</v>
      </c>
      <c r="S58" s="46">
        <v>41</v>
      </c>
      <c r="T58" s="52">
        <f>SUMIF($B$18:$B$77,$S58,$G$18:$G$77)+IF(S58&lt;13,#REF!/12,0)</f>
        <v>0</v>
      </c>
      <c r="U58" s="53">
        <f t="shared" si="5"/>
        <v>0</v>
      </c>
    </row>
    <row r="59" spans="1:21">
      <c r="A59" s="9" t="e">
        <f t="shared" si="0"/>
        <v>#REF!</v>
      </c>
      <c r="B59" s="2" t="e">
        <f t="shared" si="1"/>
        <v>#REF!</v>
      </c>
      <c r="C59" s="88">
        <v>42</v>
      </c>
      <c r="D59" s="89" t="e">
        <f t="shared" si="12"/>
        <v>#REF!</v>
      </c>
      <c r="E59" s="90" t="e">
        <f t="shared" si="2"/>
        <v>#REF!</v>
      </c>
      <c r="F59" s="90" t="e">
        <f t="shared" si="8"/>
        <v>#REF!</v>
      </c>
      <c r="G59" s="90" t="e">
        <f t="shared" si="10"/>
        <v>#REF!</v>
      </c>
      <c r="H59" s="90" t="e">
        <f>IF(D59="","",$E$5-SUM($E$18:E59))</f>
        <v>#REF!</v>
      </c>
      <c r="J59" s="12"/>
      <c r="K59" s="79"/>
      <c r="P59" s="46" t="e">
        <f t="shared" si="4"/>
        <v>#REF!</v>
      </c>
      <c r="Q59" s="43" t="str">
        <f t="shared" si="7"/>
        <v/>
      </c>
      <c r="R59" s="33" t="e">
        <f>+#REF!</f>
        <v>#REF!</v>
      </c>
      <c r="S59" s="46">
        <v>42</v>
      </c>
      <c r="T59" s="52">
        <f>SUMIF($B$18:$B$77,$S59,$G$18:$G$77)+IF(S59&lt;13,#REF!/12,0)</f>
        <v>0</v>
      </c>
      <c r="U59" s="53">
        <f t="shared" si="5"/>
        <v>0</v>
      </c>
    </row>
    <row r="60" spans="1:21">
      <c r="A60" s="9" t="e">
        <f t="shared" si="0"/>
        <v>#REF!</v>
      </c>
      <c r="B60" s="2" t="e">
        <f t="shared" si="1"/>
        <v>#REF!</v>
      </c>
      <c r="C60" s="88">
        <v>43</v>
      </c>
      <c r="D60" s="89" t="e">
        <f t="shared" si="12"/>
        <v>#REF!</v>
      </c>
      <c r="E60" s="90" t="e">
        <f t="shared" si="2"/>
        <v>#REF!</v>
      </c>
      <c r="F60" s="90" t="e">
        <f t="shared" si="8"/>
        <v>#REF!</v>
      </c>
      <c r="G60" s="90" t="e">
        <f t="shared" si="10"/>
        <v>#REF!</v>
      </c>
      <c r="H60" s="90" t="e">
        <f>IF(D60="","",$E$5-SUM($E$18:E60))</f>
        <v>#REF!</v>
      </c>
      <c r="J60" s="12"/>
      <c r="K60" s="79"/>
      <c r="P60" s="46" t="e">
        <f t="shared" si="4"/>
        <v>#REF!</v>
      </c>
      <c r="Q60" s="43" t="str">
        <f t="shared" si="7"/>
        <v/>
      </c>
      <c r="R60" s="33" t="e">
        <f>+#REF!</f>
        <v>#REF!</v>
      </c>
      <c r="S60" s="46">
        <v>43</v>
      </c>
      <c r="T60" s="52">
        <f>SUMIF($B$18:$B$77,$S60,$G$18:$G$77)+IF(S60&lt;13,#REF!/12,0)</f>
        <v>0</v>
      </c>
      <c r="U60" s="53">
        <f t="shared" si="5"/>
        <v>0</v>
      </c>
    </row>
    <row r="61" spans="1:21">
      <c r="A61" s="9" t="e">
        <f t="shared" si="0"/>
        <v>#REF!</v>
      </c>
      <c r="B61" s="2" t="e">
        <f t="shared" si="1"/>
        <v>#REF!</v>
      </c>
      <c r="C61" s="88">
        <v>44</v>
      </c>
      <c r="D61" s="89" t="e">
        <f t="shared" si="12"/>
        <v>#REF!</v>
      </c>
      <c r="E61" s="90" t="e">
        <f t="shared" si="2"/>
        <v>#REF!</v>
      </c>
      <c r="F61" s="90" t="e">
        <f t="shared" si="8"/>
        <v>#REF!</v>
      </c>
      <c r="G61" s="90" t="e">
        <f t="shared" si="10"/>
        <v>#REF!</v>
      </c>
      <c r="H61" s="90" t="e">
        <f>IF(D61="","",$E$5-SUM($E$18:E61))</f>
        <v>#REF!</v>
      </c>
      <c r="J61" s="12"/>
      <c r="K61" s="79"/>
      <c r="P61" s="46" t="e">
        <f t="shared" si="4"/>
        <v>#REF!</v>
      </c>
      <c r="Q61" s="43" t="str">
        <f t="shared" si="7"/>
        <v/>
      </c>
      <c r="R61" s="33" t="e">
        <f>+#REF!</f>
        <v>#REF!</v>
      </c>
      <c r="S61" s="46">
        <v>44</v>
      </c>
      <c r="T61" s="52">
        <f>SUMIF($B$18:$B$77,$S61,$G$18:$G$77)+IF(S61&lt;13,#REF!/12,0)</f>
        <v>0</v>
      </c>
      <c r="U61" s="53">
        <f t="shared" si="5"/>
        <v>0</v>
      </c>
    </row>
    <row r="62" spans="1:21">
      <c r="A62" s="9" t="e">
        <f t="shared" si="0"/>
        <v>#REF!</v>
      </c>
      <c r="B62" s="2" t="e">
        <f t="shared" si="1"/>
        <v>#REF!</v>
      </c>
      <c r="C62" s="88">
        <v>45</v>
      </c>
      <c r="D62" s="89" t="e">
        <f t="shared" si="12"/>
        <v>#REF!</v>
      </c>
      <c r="E62" s="90" t="e">
        <f t="shared" si="2"/>
        <v>#REF!</v>
      </c>
      <c r="F62" s="90" t="e">
        <f t="shared" si="8"/>
        <v>#REF!</v>
      </c>
      <c r="G62" s="90" t="e">
        <f t="shared" si="10"/>
        <v>#REF!</v>
      </c>
      <c r="H62" s="90" t="e">
        <f>IF(D62="","",$E$5-SUM($E$18:E62))</f>
        <v>#REF!</v>
      </c>
      <c r="J62" s="12"/>
      <c r="K62" s="79"/>
      <c r="P62" s="46" t="e">
        <f t="shared" si="4"/>
        <v>#REF!</v>
      </c>
      <c r="Q62" s="43" t="str">
        <f t="shared" si="7"/>
        <v/>
      </c>
      <c r="R62" s="33" t="e">
        <f>+#REF!</f>
        <v>#REF!</v>
      </c>
      <c r="S62" s="46">
        <v>45</v>
      </c>
      <c r="T62" s="52">
        <f>SUMIF($B$18:$B$77,$S62,$G$18:$G$77)+IF(S62&lt;13,#REF!/12,0)</f>
        <v>0</v>
      </c>
      <c r="U62" s="53">
        <f t="shared" si="5"/>
        <v>0</v>
      </c>
    </row>
    <row r="63" spans="1:21">
      <c r="A63" s="9" t="e">
        <f t="shared" si="0"/>
        <v>#REF!</v>
      </c>
      <c r="B63" s="2" t="e">
        <f t="shared" si="1"/>
        <v>#REF!</v>
      </c>
      <c r="C63" s="88">
        <v>46</v>
      </c>
      <c r="D63" s="89" t="e">
        <f t="shared" si="12"/>
        <v>#REF!</v>
      </c>
      <c r="E63" s="90" t="e">
        <f t="shared" si="2"/>
        <v>#REF!</v>
      </c>
      <c r="F63" s="90" t="e">
        <f t="shared" si="8"/>
        <v>#REF!</v>
      </c>
      <c r="G63" s="90" t="e">
        <f t="shared" si="10"/>
        <v>#REF!</v>
      </c>
      <c r="H63" s="90" t="e">
        <f>IF(D63="","",$E$5-SUM($E$18:E63))</f>
        <v>#REF!</v>
      </c>
      <c r="J63" s="12"/>
      <c r="K63" s="79"/>
      <c r="P63" s="46" t="e">
        <f t="shared" si="4"/>
        <v>#REF!</v>
      </c>
      <c r="Q63" s="43" t="str">
        <f t="shared" si="7"/>
        <v/>
      </c>
      <c r="R63" s="33" t="e">
        <f>+#REF!</f>
        <v>#REF!</v>
      </c>
      <c r="S63" s="46">
        <v>46</v>
      </c>
      <c r="T63" s="52">
        <f>SUMIF($B$18:$B$77,$S63,$G$18:$G$77)+IF(S63&lt;13,#REF!/12,0)</f>
        <v>0</v>
      </c>
      <c r="U63" s="53">
        <f t="shared" si="5"/>
        <v>0</v>
      </c>
    </row>
    <row r="64" spans="1:21">
      <c r="A64" s="9" t="e">
        <f t="shared" si="0"/>
        <v>#REF!</v>
      </c>
      <c r="B64" s="2" t="e">
        <f t="shared" si="1"/>
        <v>#REF!</v>
      </c>
      <c r="C64" s="88">
        <v>47</v>
      </c>
      <c r="D64" s="89" t="e">
        <f t="shared" si="12"/>
        <v>#REF!</v>
      </c>
      <c r="E64" s="90" t="e">
        <f t="shared" si="2"/>
        <v>#REF!</v>
      </c>
      <c r="F64" s="90" t="e">
        <f t="shared" si="8"/>
        <v>#REF!</v>
      </c>
      <c r="G64" s="90" t="e">
        <f t="shared" si="10"/>
        <v>#REF!</v>
      </c>
      <c r="H64" s="90" t="e">
        <f>IF(D64="","",$E$5-SUM($E$18:E64))</f>
        <v>#REF!</v>
      </c>
      <c r="J64" s="13"/>
      <c r="K64" s="80"/>
      <c r="P64" s="46" t="e">
        <f t="shared" si="4"/>
        <v>#REF!</v>
      </c>
      <c r="Q64" s="43" t="str">
        <f t="shared" si="7"/>
        <v/>
      </c>
      <c r="R64" s="33" t="e">
        <f>+#REF!</f>
        <v>#REF!</v>
      </c>
      <c r="S64" s="46">
        <v>47</v>
      </c>
      <c r="T64" s="52">
        <f>SUMIF($B$18:$B$77,$S64,$G$18:$G$77)+IF(S64&lt;13,#REF!/12,0)</f>
        <v>0</v>
      </c>
      <c r="U64" s="53">
        <f t="shared" si="5"/>
        <v>0</v>
      </c>
    </row>
    <row r="65" spans="1:21">
      <c r="A65" s="9" t="e">
        <f t="shared" si="0"/>
        <v>#REF!</v>
      </c>
      <c r="B65" s="2" t="e">
        <f t="shared" si="1"/>
        <v>#REF!</v>
      </c>
      <c r="C65" s="88">
        <v>48</v>
      </c>
      <c r="D65" s="89" t="e">
        <f t="shared" si="12"/>
        <v>#REF!</v>
      </c>
      <c r="E65" s="90" t="e">
        <f t="shared" si="2"/>
        <v>#REF!</v>
      </c>
      <c r="F65" s="90" t="e">
        <f t="shared" si="8"/>
        <v>#REF!</v>
      </c>
      <c r="G65" s="90" t="e">
        <f t="shared" si="10"/>
        <v>#REF!</v>
      </c>
      <c r="H65" s="90" t="e">
        <f>IF(D65="","",$E$5-SUM($E$18:E65))</f>
        <v>#REF!</v>
      </c>
      <c r="J65" s="11"/>
      <c r="K65" s="81"/>
      <c r="P65" s="46" t="e">
        <f t="shared" si="4"/>
        <v>#REF!</v>
      </c>
      <c r="Q65" s="43" t="str">
        <f t="shared" si="7"/>
        <v/>
      </c>
      <c r="R65" s="33" t="e">
        <f>+#REF!</f>
        <v>#REF!</v>
      </c>
      <c r="S65" s="46">
        <v>48</v>
      </c>
      <c r="T65" s="52">
        <f>SUMIF($B$18:$B$77,$S65,$G$18:$G$77)+IF(S65&lt;13,#REF!/12,0)</f>
        <v>0</v>
      </c>
      <c r="U65" s="53">
        <f t="shared" si="5"/>
        <v>0</v>
      </c>
    </row>
    <row r="66" spans="1:21">
      <c r="A66" s="9" t="e">
        <f t="shared" si="0"/>
        <v>#REF!</v>
      </c>
      <c r="B66" s="2" t="e">
        <f t="shared" si="1"/>
        <v>#REF!</v>
      </c>
      <c r="C66" s="88">
        <v>49</v>
      </c>
      <c r="D66" s="89" t="e">
        <f t="shared" si="12"/>
        <v>#REF!</v>
      </c>
      <c r="E66" s="90" t="e">
        <f t="shared" si="2"/>
        <v>#REF!</v>
      </c>
      <c r="F66" s="90" t="e">
        <f t="shared" si="8"/>
        <v>#REF!</v>
      </c>
      <c r="G66" s="90" t="e">
        <f t="shared" si="10"/>
        <v>#REF!</v>
      </c>
      <c r="H66" s="90" t="e">
        <f>IF(D66="","",$E$5-SUM($E$18:E66))</f>
        <v>#REF!</v>
      </c>
      <c r="P66" s="46" t="e">
        <f t="shared" si="4"/>
        <v>#REF!</v>
      </c>
      <c r="Q66" s="43" t="str">
        <f t="shared" si="7"/>
        <v/>
      </c>
      <c r="R66" s="33" t="e">
        <f>+#REF!</f>
        <v>#REF!</v>
      </c>
      <c r="S66" s="46">
        <v>49</v>
      </c>
      <c r="T66" s="52">
        <f>SUMIF($B$18:$B$77,$S66,$G$18:$G$77)+IF(S66&lt;13,#REF!/12,0)</f>
        <v>0</v>
      </c>
      <c r="U66" s="53">
        <f t="shared" si="5"/>
        <v>0</v>
      </c>
    </row>
    <row r="67" spans="1:21">
      <c r="A67" s="9" t="e">
        <f t="shared" si="0"/>
        <v>#REF!</v>
      </c>
      <c r="B67" s="2" t="e">
        <f t="shared" si="1"/>
        <v>#REF!</v>
      </c>
      <c r="C67" s="88">
        <v>50</v>
      </c>
      <c r="D67" s="89" t="e">
        <f t="shared" si="12"/>
        <v>#REF!</v>
      </c>
      <c r="E67" s="90" t="e">
        <f t="shared" si="2"/>
        <v>#REF!</v>
      </c>
      <c r="F67" s="90" t="e">
        <f t="shared" si="8"/>
        <v>#REF!</v>
      </c>
      <c r="G67" s="90" t="e">
        <f t="shared" si="10"/>
        <v>#REF!</v>
      </c>
      <c r="H67" s="90" t="e">
        <f>IF(D67="","",$E$5-SUM($E$18:E67))</f>
        <v>#REF!</v>
      </c>
      <c r="P67" s="46" t="e">
        <f t="shared" si="4"/>
        <v>#REF!</v>
      </c>
      <c r="Q67" s="43" t="str">
        <f t="shared" si="7"/>
        <v/>
      </c>
      <c r="R67" s="33" t="e">
        <f>+#REF!</f>
        <v>#REF!</v>
      </c>
      <c r="S67" s="46">
        <v>50</v>
      </c>
      <c r="T67" s="52">
        <f>SUMIF($B$18:$B$77,$S67,$G$18:$G$77)+IF(S67&lt;13,#REF!/12,0)</f>
        <v>0</v>
      </c>
      <c r="U67" s="53">
        <f t="shared" si="5"/>
        <v>0</v>
      </c>
    </row>
    <row r="68" spans="1:21">
      <c r="A68" s="9" t="e">
        <f t="shared" si="0"/>
        <v>#REF!</v>
      </c>
      <c r="B68" s="2" t="e">
        <f t="shared" si="1"/>
        <v>#REF!</v>
      </c>
      <c r="C68" s="88">
        <v>51</v>
      </c>
      <c r="D68" s="89" t="e">
        <f t="shared" si="12"/>
        <v>#REF!</v>
      </c>
      <c r="E68" s="90" t="e">
        <f t="shared" si="2"/>
        <v>#REF!</v>
      </c>
      <c r="F68" s="90" t="e">
        <f t="shared" si="8"/>
        <v>#REF!</v>
      </c>
      <c r="G68" s="90" t="e">
        <f t="shared" si="10"/>
        <v>#REF!</v>
      </c>
      <c r="H68" s="90" t="e">
        <f>IF(D68="","",$E$5-SUM($E$18:E68))</f>
        <v>#REF!</v>
      </c>
      <c r="P68" s="46" t="e">
        <f t="shared" si="4"/>
        <v>#REF!</v>
      </c>
      <c r="Q68" s="43" t="str">
        <f t="shared" si="7"/>
        <v/>
      </c>
      <c r="R68" s="33" t="e">
        <f>+#REF!</f>
        <v>#REF!</v>
      </c>
      <c r="S68" s="46">
        <v>51</v>
      </c>
      <c r="T68" s="52">
        <f>SUMIF($B$18:$B$77,$S68,$G$18:$G$77)+IF(S68&lt;13,#REF!/12,0)</f>
        <v>0</v>
      </c>
      <c r="U68" s="53">
        <f t="shared" si="5"/>
        <v>0</v>
      </c>
    </row>
    <row r="69" spans="1:21">
      <c r="A69" s="9" t="e">
        <f t="shared" si="0"/>
        <v>#REF!</v>
      </c>
      <c r="B69" s="2" t="e">
        <f t="shared" si="1"/>
        <v>#REF!</v>
      </c>
      <c r="C69" s="88">
        <v>52</v>
      </c>
      <c r="D69" s="89" t="e">
        <f t="shared" si="12"/>
        <v>#REF!</v>
      </c>
      <c r="E69" s="90" t="e">
        <f t="shared" si="2"/>
        <v>#REF!</v>
      </c>
      <c r="F69" s="90" t="e">
        <f t="shared" si="8"/>
        <v>#REF!</v>
      </c>
      <c r="G69" s="90" t="e">
        <f t="shared" si="10"/>
        <v>#REF!</v>
      </c>
      <c r="H69" s="90" t="e">
        <f>IF(D69="","",$E$5-SUM($E$18:E69))</f>
        <v>#REF!</v>
      </c>
      <c r="P69" s="46" t="e">
        <f t="shared" si="4"/>
        <v>#REF!</v>
      </c>
      <c r="Q69" s="43" t="str">
        <f t="shared" si="7"/>
        <v/>
      </c>
      <c r="R69" s="33" t="e">
        <f>+#REF!</f>
        <v>#REF!</v>
      </c>
      <c r="S69" s="46">
        <v>52</v>
      </c>
      <c r="T69" s="52">
        <f>SUMIF($B$18:$B$77,$S69,$G$18:$G$77)+IF(S69&lt;13,#REF!/12,0)</f>
        <v>0</v>
      </c>
      <c r="U69" s="53">
        <f t="shared" si="5"/>
        <v>0</v>
      </c>
    </row>
    <row r="70" spans="1:21">
      <c r="A70" s="9" t="e">
        <f t="shared" si="0"/>
        <v>#REF!</v>
      </c>
      <c r="B70" s="2" t="e">
        <f t="shared" si="1"/>
        <v>#REF!</v>
      </c>
      <c r="C70" s="88">
        <v>53</v>
      </c>
      <c r="D70" s="89" t="e">
        <f t="shared" si="12"/>
        <v>#REF!</v>
      </c>
      <c r="E70" s="90" t="e">
        <f t="shared" si="2"/>
        <v>#REF!</v>
      </c>
      <c r="F70" s="90" t="e">
        <f t="shared" si="8"/>
        <v>#REF!</v>
      </c>
      <c r="G70" s="90" t="e">
        <f t="shared" si="10"/>
        <v>#REF!</v>
      </c>
      <c r="H70" s="90" t="e">
        <f>IF(D70="","",$E$5-SUM($E$18:E70))</f>
        <v>#REF!</v>
      </c>
      <c r="P70" s="46" t="e">
        <f t="shared" si="4"/>
        <v>#REF!</v>
      </c>
      <c r="Q70" s="43" t="str">
        <f t="shared" si="7"/>
        <v/>
      </c>
      <c r="R70" s="33" t="e">
        <f>+#REF!</f>
        <v>#REF!</v>
      </c>
      <c r="S70" s="46">
        <v>53</v>
      </c>
      <c r="T70" s="52">
        <f>SUMIF($B$18:$B$77,$S70,$G$18:$G$77)+IF(S70&lt;13,#REF!/12,0)</f>
        <v>0</v>
      </c>
      <c r="U70" s="53">
        <f t="shared" si="5"/>
        <v>0</v>
      </c>
    </row>
    <row r="71" spans="1:21">
      <c r="A71" s="9" t="e">
        <f t="shared" si="0"/>
        <v>#REF!</v>
      </c>
      <c r="B71" s="2" t="e">
        <f t="shared" si="1"/>
        <v>#REF!</v>
      </c>
      <c r="C71" s="88">
        <v>54</v>
      </c>
      <c r="D71" s="89" t="e">
        <f t="shared" si="12"/>
        <v>#REF!</v>
      </c>
      <c r="E71" s="90" t="e">
        <f t="shared" si="2"/>
        <v>#REF!</v>
      </c>
      <c r="F71" s="90" t="e">
        <f t="shared" si="8"/>
        <v>#REF!</v>
      </c>
      <c r="G71" s="90" t="e">
        <f t="shared" si="10"/>
        <v>#REF!</v>
      </c>
      <c r="H71" s="90" t="e">
        <f>IF(D71="","",$E$5-SUM($E$18:E71))</f>
        <v>#REF!</v>
      </c>
      <c r="P71" s="46" t="e">
        <f t="shared" si="4"/>
        <v>#REF!</v>
      </c>
      <c r="Q71" s="43" t="str">
        <f t="shared" si="7"/>
        <v/>
      </c>
      <c r="R71" s="33" t="e">
        <f>+#REF!</f>
        <v>#REF!</v>
      </c>
      <c r="S71" s="46">
        <v>54</v>
      </c>
      <c r="T71" s="52">
        <f>SUMIF($B$18:$B$77,$S71,$G$18:$G$77)+IF(S71&lt;13,#REF!/12,0)</f>
        <v>0</v>
      </c>
      <c r="U71" s="53">
        <f t="shared" si="5"/>
        <v>0</v>
      </c>
    </row>
    <row r="72" spans="1:21">
      <c r="A72" s="9" t="e">
        <f t="shared" si="0"/>
        <v>#REF!</v>
      </c>
      <c r="B72" s="2" t="e">
        <f t="shared" si="1"/>
        <v>#REF!</v>
      </c>
      <c r="C72" s="88">
        <v>55</v>
      </c>
      <c r="D72" s="89" t="e">
        <f t="shared" si="12"/>
        <v>#REF!</v>
      </c>
      <c r="E72" s="90" t="e">
        <f t="shared" si="2"/>
        <v>#REF!</v>
      </c>
      <c r="F72" s="90" t="e">
        <f t="shared" si="8"/>
        <v>#REF!</v>
      </c>
      <c r="G72" s="90" t="e">
        <f t="shared" si="10"/>
        <v>#REF!</v>
      </c>
      <c r="H72" s="90" t="e">
        <f>IF(D72="","",$E$5-SUM($E$18:E72))</f>
        <v>#REF!</v>
      </c>
      <c r="P72" s="46" t="e">
        <f t="shared" si="4"/>
        <v>#REF!</v>
      </c>
      <c r="Q72" s="43" t="str">
        <f t="shared" si="7"/>
        <v/>
      </c>
      <c r="R72" s="33" t="e">
        <f>+#REF!</f>
        <v>#REF!</v>
      </c>
      <c r="S72" s="46">
        <v>55</v>
      </c>
      <c r="T72" s="52">
        <f>SUMIF($B$18:$B$77,$S72,$G$18:$G$77)+IF(S72&lt;13,#REF!/12,0)</f>
        <v>0</v>
      </c>
      <c r="U72" s="53">
        <f t="shared" si="5"/>
        <v>0</v>
      </c>
    </row>
    <row r="73" spans="1:21">
      <c r="A73" s="9" t="e">
        <f t="shared" si="0"/>
        <v>#REF!</v>
      </c>
      <c r="B73" s="2" t="e">
        <f t="shared" si="1"/>
        <v>#REF!</v>
      </c>
      <c r="C73" s="88">
        <v>56</v>
      </c>
      <c r="D73" s="89" t="e">
        <f t="shared" si="12"/>
        <v>#REF!</v>
      </c>
      <c r="E73" s="90" t="e">
        <f t="shared" si="2"/>
        <v>#REF!</v>
      </c>
      <c r="F73" s="90" t="e">
        <f t="shared" si="8"/>
        <v>#REF!</v>
      </c>
      <c r="G73" s="90" t="e">
        <f t="shared" si="10"/>
        <v>#REF!</v>
      </c>
      <c r="H73" s="90" t="e">
        <f>IF(D73="","",$E$5-SUM($E$18:E73))</f>
        <v>#REF!</v>
      </c>
      <c r="P73" s="46" t="e">
        <f t="shared" si="4"/>
        <v>#REF!</v>
      </c>
      <c r="Q73" s="43" t="str">
        <f t="shared" si="7"/>
        <v/>
      </c>
      <c r="R73" s="33" t="e">
        <f>+#REF!</f>
        <v>#REF!</v>
      </c>
      <c r="S73" s="46">
        <v>56</v>
      </c>
      <c r="T73" s="52">
        <f>SUMIF($B$18:$B$77,$S73,$G$18:$G$77)+IF(S73&lt;13,#REF!/12,0)</f>
        <v>0</v>
      </c>
      <c r="U73" s="53">
        <f t="shared" si="5"/>
        <v>0</v>
      </c>
    </row>
    <row r="74" spans="1:21">
      <c r="A74" s="9" t="e">
        <f t="shared" si="0"/>
        <v>#REF!</v>
      </c>
      <c r="B74" s="2" t="e">
        <f t="shared" si="1"/>
        <v>#REF!</v>
      </c>
      <c r="C74" s="88">
        <v>57</v>
      </c>
      <c r="D74" s="89" t="e">
        <f t="shared" si="12"/>
        <v>#REF!</v>
      </c>
      <c r="E74" s="90" t="e">
        <f t="shared" si="2"/>
        <v>#REF!</v>
      </c>
      <c r="F74" s="90" t="e">
        <f t="shared" si="8"/>
        <v>#REF!</v>
      </c>
      <c r="G74" s="90" t="e">
        <f t="shared" si="10"/>
        <v>#REF!</v>
      </c>
      <c r="H74" s="90" t="e">
        <f>IF(D74="","",$E$5-SUM($E$18:E74))</f>
        <v>#REF!</v>
      </c>
      <c r="P74" s="46" t="e">
        <f t="shared" si="4"/>
        <v>#REF!</v>
      </c>
      <c r="Q74" s="43" t="str">
        <f t="shared" si="7"/>
        <v/>
      </c>
      <c r="R74" s="33" t="e">
        <f>+#REF!</f>
        <v>#REF!</v>
      </c>
      <c r="S74" s="46">
        <v>57</v>
      </c>
      <c r="T74" s="52">
        <f>SUMIF($B$18:$B$77,$S74,$G$18:$G$77)+IF(S74&lt;13,#REF!/12,0)</f>
        <v>0</v>
      </c>
      <c r="U74" s="53">
        <f t="shared" si="5"/>
        <v>0</v>
      </c>
    </row>
    <row r="75" spans="1:21">
      <c r="A75" s="9" t="e">
        <f t="shared" si="0"/>
        <v>#REF!</v>
      </c>
      <c r="B75" s="2" t="e">
        <f t="shared" si="1"/>
        <v>#REF!</v>
      </c>
      <c r="C75" s="88">
        <v>58</v>
      </c>
      <c r="D75" s="89" t="e">
        <f t="shared" si="12"/>
        <v>#REF!</v>
      </c>
      <c r="E75" s="90" t="e">
        <f t="shared" si="2"/>
        <v>#REF!</v>
      </c>
      <c r="F75" s="90" t="e">
        <f t="shared" si="8"/>
        <v>#REF!</v>
      </c>
      <c r="G75" s="90" t="e">
        <f t="shared" si="10"/>
        <v>#REF!</v>
      </c>
      <c r="H75" s="90" t="e">
        <f>IF(D75="","",$E$5-SUM($E$18:E75))</f>
        <v>#REF!</v>
      </c>
      <c r="P75" s="46" t="e">
        <f t="shared" si="4"/>
        <v>#REF!</v>
      </c>
      <c r="Q75" s="43" t="str">
        <f t="shared" si="7"/>
        <v/>
      </c>
      <c r="R75" s="33" t="e">
        <f>+#REF!</f>
        <v>#REF!</v>
      </c>
      <c r="S75" s="46">
        <v>58</v>
      </c>
      <c r="T75" s="52">
        <f>SUMIF($B$18:$B$77,$S75,$G$18:$G$77)+IF(S75&lt;13,#REF!/12,0)</f>
        <v>0</v>
      </c>
      <c r="U75" s="53">
        <f t="shared" si="5"/>
        <v>0</v>
      </c>
    </row>
    <row r="76" spans="1:21">
      <c r="A76" s="9" t="e">
        <f t="shared" si="0"/>
        <v>#REF!</v>
      </c>
      <c r="B76" s="2" t="e">
        <f t="shared" si="1"/>
        <v>#REF!</v>
      </c>
      <c r="C76" s="88">
        <v>59</v>
      </c>
      <c r="D76" s="89" t="e">
        <f t="shared" si="12"/>
        <v>#REF!</v>
      </c>
      <c r="E76" s="90" t="e">
        <f t="shared" si="2"/>
        <v>#REF!</v>
      </c>
      <c r="F76" s="90" t="e">
        <f t="shared" si="8"/>
        <v>#REF!</v>
      </c>
      <c r="G76" s="90" t="e">
        <f t="shared" si="10"/>
        <v>#REF!</v>
      </c>
      <c r="H76" s="90" t="e">
        <f>IF(D76="","",$E$5-SUM($E$18:E76))</f>
        <v>#REF!</v>
      </c>
      <c r="P76" s="46" t="e">
        <f t="shared" si="4"/>
        <v>#REF!</v>
      </c>
      <c r="Q76" s="43" t="str">
        <f t="shared" si="7"/>
        <v/>
      </c>
      <c r="R76" s="33" t="e">
        <f>+#REF!</f>
        <v>#REF!</v>
      </c>
      <c r="S76" s="46">
        <v>59</v>
      </c>
      <c r="T76" s="52">
        <f>SUMIF($B$18:$B$77,$S76,$G$18:$G$77)+IF(S76&lt;13,#REF!/12,0)</f>
        <v>0</v>
      </c>
      <c r="U76" s="53">
        <f t="shared" si="5"/>
        <v>0</v>
      </c>
    </row>
    <row r="77" spans="1:21">
      <c r="A77" s="9" t="e">
        <f t="shared" si="0"/>
        <v>#REF!</v>
      </c>
      <c r="B77" s="2" t="e">
        <f t="shared" si="1"/>
        <v>#REF!</v>
      </c>
      <c r="C77" s="88">
        <v>60</v>
      </c>
      <c r="D77" s="89" t="e">
        <f t="shared" si="12"/>
        <v>#REF!</v>
      </c>
      <c r="E77" s="90" t="e">
        <f t="shared" si="2"/>
        <v>#REF!</v>
      </c>
      <c r="F77" s="90" t="e">
        <f t="shared" si="8"/>
        <v>#REF!</v>
      </c>
      <c r="G77" s="90" t="e">
        <f t="shared" si="10"/>
        <v>#REF!</v>
      </c>
      <c r="H77" s="90" t="e">
        <f>IF(D77="","",$E$5-SUM($E$18:E77))</f>
        <v>#REF!</v>
      </c>
      <c r="P77" s="46" t="e">
        <f t="shared" si="4"/>
        <v>#REF!</v>
      </c>
      <c r="Q77" s="43" t="str">
        <f t="shared" si="7"/>
        <v/>
      </c>
      <c r="R77" s="33" t="e">
        <f>+#REF!</f>
        <v>#REF!</v>
      </c>
      <c r="S77" s="46">
        <v>60</v>
      </c>
      <c r="T77" s="52">
        <f>SUMIF($B$18:$B$77,$S77,$G$18:$G$77)+IF(S77&lt;13,#REF!/12,0)</f>
        <v>0</v>
      </c>
      <c r="U77" s="53">
        <f t="shared" si="5"/>
        <v>0</v>
      </c>
    </row>
    <row r="78" spans="1:21">
      <c r="B78" s="2"/>
      <c r="C78" s="2"/>
      <c r="D78" s="64"/>
      <c r="E78" s="3"/>
      <c r="F78" s="3"/>
      <c r="G78" s="3"/>
      <c r="H78" s="3"/>
      <c r="P78" s="46"/>
      <c r="Q78" s="44" t="e">
        <f>SUM(Q18:Q77)</f>
        <v>#REF!</v>
      </c>
    </row>
  </sheetData>
  <mergeCells count="2">
    <mergeCell ref="T14:T16"/>
    <mergeCell ref="M29:N29"/>
  </mergeCells>
  <conditionalFormatting sqref="H5">
    <cfRule type="expression" dxfId="12" priority="11">
      <formula>ISBLANK($H$5)</formula>
    </cfRule>
    <cfRule type="expression" dxfId="11" priority="13">
      <formula>WEEKDAY(H5,2)&gt;5</formula>
    </cfRule>
  </conditionalFormatting>
  <conditionalFormatting sqref="E5">
    <cfRule type="expression" dxfId="10" priority="12">
      <formula>ISBLANK($E$5)</formula>
    </cfRule>
  </conditionalFormatting>
  <conditionalFormatting sqref="I5">
    <cfRule type="expression" dxfId="9" priority="9">
      <formula>WEEKDAY(H5,2)&gt;5</formula>
    </cfRule>
    <cfRule type="expression" dxfId="8" priority="10">
      <formula>WEEKDAY(H5,2)&gt;5</formula>
    </cfRule>
  </conditionalFormatting>
  <conditionalFormatting sqref="J16:K77">
    <cfRule type="expression" dxfId="7" priority="8">
      <formula>$E$13="Uniforme"</formula>
    </cfRule>
  </conditionalFormatting>
  <conditionalFormatting sqref="U15">
    <cfRule type="cellIs" dxfId="6" priority="7" operator="equal">
      <formula>FALSE</formula>
    </cfRule>
  </conditionalFormatting>
  <conditionalFormatting sqref="H14">
    <cfRule type="expression" dxfId="5" priority="5">
      <formula>$U$16=FALSE</formula>
    </cfRule>
    <cfRule type="expression" dxfId="4" priority="6">
      <formula>$U$15=FALSE</formula>
    </cfRule>
  </conditionalFormatting>
  <conditionalFormatting sqref="U16">
    <cfRule type="cellIs" dxfId="3" priority="4" operator="equal">
      <formula>FALSE</formula>
    </cfRule>
  </conditionalFormatting>
  <conditionalFormatting sqref="H6">
    <cfRule type="expression" dxfId="2" priority="1">
      <formula>DAY(H6)&gt;28</formula>
    </cfRule>
    <cfRule type="expression" dxfId="1" priority="2">
      <formula>ISBLANK($H$5)</formula>
    </cfRule>
    <cfRule type="expression" dxfId="0" priority="3">
      <formula>WEEKDAY(H6,2)&gt;5</formula>
    </cfRule>
  </conditionalFormatting>
  <dataValidations count="3">
    <dataValidation type="list" allowBlank="1" showInputMessage="1" showErrorMessage="1" sqref="E13">
      <formula1>$L$26:$L$27</formula1>
    </dataValidation>
    <dataValidation type="list" allowBlank="1" showInputMessage="1" showErrorMessage="1" sqref="E12">
      <formula1>$L$20:$L$24</formula1>
    </dataValidation>
    <dataValidation type="list" allowBlank="1" showInputMessage="1" showErrorMessage="1" sqref="E11">
      <formula1>$L$16:$L$18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P39"/>
  <sheetViews>
    <sheetView workbookViewId="0">
      <pane ySplit="1" topLeftCell="A2" activePane="bottomLeft" state="frozen"/>
      <selection pane="bottomLeft" activeCell="B15" sqref="B15"/>
    </sheetView>
  </sheetViews>
  <sheetFormatPr baseColWidth="10" defaultColWidth="9.140625" defaultRowHeight="15"/>
  <cols>
    <col min="1" max="1" width="4.140625" customWidth="1"/>
    <col min="2" max="2" width="12.7109375" customWidth="1"/>
    <col min="5" max="6" width="11.85546875" customWidth="1"/>
    <col min="7" max="7" width="15.28515625" style="58" customWidth="1"/>
    <col min="8" max="8" width="12.85546875" style="58" customWidth="1"/>
    <col min="9" max="9" width="12.140625" style="62" bestFit="1" customWidth="1"/>
  </cols>
  <sheetData>
    <row r="1" spans="2:16" ht="15.75" thickBot="1">
      <c r="B1" s="54" t="s">
        <v>37</v>
      </c>
      <c r="C1" s="55" t="s">
        <v>38</v>
      </c>
      <c r="D1" s="55" t="s">
        <v>39</v>
      </c>
      <c r="E1" s="55" t="s">
        <v>40</v>
      </c>
      <c r="F1" s="56"/>
      <c r="G1" s="57" t="s">
        <v>41</v>
      </c>
      <c r="H1" s="57" t="s">
        <v>42</v>
      </c>
      <c r="I1" s="57" t="s">
        <v>43</v>
      </c>
      <c r="J1" s="58" t="s">
        <v>44</v>
      </c>
      <c r="O1" t="s">
        <v>45</v>
      </c>
      <c r="P1">
        <v>1</v>
      </c>
    </row>
    <row r="2" spans="2:16" ht="15.75" thickBot="1">
      <c r="B2" s="63">
        <f>DATE(C2,D2,E2)</f>
        <v>43101</v>
      </c>
      <c r="C2">
        <v>2018</v>
      </c>
      <c r="D2">
        <f>VLOOKUP(F2,$O$1:$P$12,2,FALSE)</f>
        <v>1</v>
      </c>
      <c r="E2">
        <f>VALUE(LEFT(G2,FIND(" ",G2)-1))</f>
        <v>1</v>
      </c>
      <c r="F2" t="str">
        <f t="shared" ref="F2:F20" si="0">RIGHT(G2,LEN(G2)-FIND(" ",G2))</f>
        <v>enero</v>
      </c>
      <c r="G2" s="59" t="s">
        <v>46</v>
      </c>
      <c r="H2" s="59" t="s">
        <v>47</v>
      </c>
      <c r="I2" s="59" t="s">
        <v>48</v>
      </c>
      <c r="O2" t="s">
        <v>49</v>
      </c>
      <c r="P2">
        <v>2</v>
      </c>
    </row>
    <row r="3" spans="2:16" ht="15.75" thickBot="1">
      <c r="B3" s="63">
        <f t="shared" ref="B3:B39" si="1">DATE(C3,D3,E3)</f>
        <v>43143</v>
      </c>
      <c r="C3">
        <v>2018</v>
      </c>
      <c r="D3">
        <f t="shared" ref="D3:D20" si="2">VLOOKUP(F3,$O$1:$P$12,2,FALSE)</f>
        <v>2</v>
      </c>
      <c r="E3">
        <f t="shared" ref="E3:E39" si="3">VALUE(LEFT(G3,FIND(" ",G3)-1))</f>
        <v>12</v>
      </c>
      <c r="F3" t="str">
        <f t="shared" si="0"/>
        <v>febrero</v>
      </c>
      <c r="G3" s="59" t="s">
        <v>50</v>
      </c>
      <c r="H3" s="59" t="s">
        <v>47</v>
      </c>
      <c r="I3" s="60" t="s">
        <v>51</v>
      </c>
      <c r="O3" t="s">
        <v>52</v>
      </c>
      <c r="P3">
        <v>3</v>
      </c>
    </row>
    <row r="4" spans="2:16" ht="15.75" thickBot="1">
      <c r="B4" s="63">
        <f t="shared" si="1"/>
        <v>43144</v>
      </c>
      <c r="C4">
        <v>2018</v>
      </c>
      <c r="D4">
        <f t="shared" si="2"/>
        <v>2</v>
      </c>
      <c r="E4">
        <f t="shared" si="3"/>
        <v>13</v>
      </c>
      <c r="F4" t="str">
        <f t="shared" si="0"/>
        <v>febrero</v>
      </c>
      <c r="G4" s="59" t="s">
        <v>53</v>
      </c>
      <c r="H4" s="59" t="s">
        <v>54</v>
      </c>
      <c r="I4" s="60" t="s">
        <v>51</v>
      </c>
      <c r="O4" t="s">
        <v>55</v>
      </c>
      <c r="P4">
        <v>4</v>
      </c>
    </row>
    <row r="5" spans="2:16" ht="15.75" thickBot="1">
      <c r="B5" s="63">
        <f t="shared" si="1"/>
        <v>43183</v>
      </c>
      <c r="C5">
        <v>2018</v>
      </c>
      <c r="D5">
        <f t="shared" si="2"/>
        <v>3</v>
      </c>
      <c r="E5">
        <f t="shared" si="3"/>
        <v>24</v>
      </c>
      <c r="F5" t="str">
        <f t="shared" si="0"/>
        <v>marzo</v>
      </c>
      <c r="G5" s="59" t="s">
        <v>56</v>
      </c>
      <c r="H5" s="59" t="s">
        <v>57</v>
      </c>
      <c r="I5" s="60" t="s">
        <v>58</v>
      </c>
      <c r="O5" t="s">
        <v>59</v>
      </c>
      <c r="P5">
        <v>5</v>
      </c>
    </row>
    <row r="6" spans="2:16" ht="15.75" thickBot="1">
      <c r="B6" s="63">
        <f t="shared" si="1"/>
        <v>43189</v>
      </c>
      <c r="C6">
        <v>2018</v>
      </c>
      <c r="D6">
        <f t="shared" si="2"/>
        <v>3</v>
      </c>
      <c r="E6">
        <f t="shared" si="3"/>
        <v>30</v>
      </c>
      <c r="F6" t="str">
        <f t="shared" si="0"/>
        <v>marzo</v>
      </c>
      <c r="G6" s="59" t="s">
        <v>60</v>
      </c>
      <c r="H6" s="59" t="s">
        <v>61</v>
      </c>
      <c r="I6" s="60" t="s">
        <v>62</v>
      </c>
      <c r="O6" t="s">
        <v>63</v>
      </c>
      <c r="P6">
        <v>6</v>
      </c>
    </row>
    <row r="7" spans="2:16" ht="15.75" thickBot="1">
      <c r="B7" s="63">
        <f t="shared" si="1"/>
        <v>43192</v>
      </c>
      <c r="C7">
        <v>2018</v>
      </c>
      <c r="D7">
        <f t="shared" si="2"/>
        <v>4</v>
      </c>
      <c r="E7">
        <f t="shared" si="3"/>
        <v>2</v>
      </c>
      <c r="F7" t="str">
        <f t="shared" si="0"/>
        <v>abril</v>
      </c>
      <c r="G7" s="59" t="s">
        <v>64</v>
      </c>
      <c r="H7" s="59" t="s">
        <v>47</v>
      </c>
      <c r="I7" s="60" t="s">
        <v>65</v>
      </c>
      <c r="O7" t="s">
        <v>66</v>
      </c>
      <c r="P7">
        <v>7</v>
      </c>
    </row>
    <row r="8" spans="2:16" ht="15.75" thickBot="1">
      <c r="B8" s="63">
        <f t="shared" si="1"/>
        <v>43220</v>
      </c>
      <c r="C8">
        <v>2018</v>
      </c>
      <c r="D8">
        <f t="shared" si="2"/>
        <v>4</v>
      </c>
      <c r="E8">
        <f t="shared" si="3"/>
        <v>30</v>
      </c>
      <c r="F8" t="str">
        <f t="shared" si="0"/>
        <v>abril</v>
      </c>
      <c r="G8" s="59" t="s">
        <v>67</v>
      </c>
      <c r="H8" s="59" t="s">
        <v>47</v>
      </c>
      <c r="I8" s="59" t="s">
        <v>68</v>
      </c>
      <c r="O8" t="s">
        <v>69</v>
      </c>
      <c r="P8">
        <v>8</v>
      </c>
    </row>
    <row r="9" spans="2:16" ht="15.75" thickBot="1">
      <c r="B9" s="63">
        <f t="shared" si="1"/>
        <v>43221</v>
      </c>
      <c r="C9">
        <v>2018</v>
      </c>
      <c r="D9">
        <f t="shared" si="2"/>
        <v>5</v>
      </c>
      <c r="E9">
        <f t="shared" si="3"/>
        <v>1</v>
      </c>
      <c r="F9" t="str">
        <f t="shared" si="0"/>
        <v>mayo</v>
      </c>
      <c r="G9" s="59" t="s">
        <v>70</v>
      </c>
      <c r="H9" s="59" t="s">
        <v>54</v>
      </c>
      <c r="I9" s="59" t="s">
        <v>71</v>
      </c>
      <c r="O9" t="s">
        <v>72</v>
      </c>
      <c r="P9">
        <v>9</v>
      </c>
    </row>
    <row r="10" spans="2:16" ht="15.75" thickBot="1">
      <c r="B10" s="63">
        <f t="shared" si="1"/>
        <v>43245</v>
      </c>
      <c r="C10">
        <v>2018</v>
      </c>
      <c r="D10">
        <f t="shared" si="2"/>
        <v>5</v>
      </c>
      <c r="E10">
        <f t="shared" si="3"/>
        <v>25</v>
      </c>
      <c r="F10" t="str">
        <f t="shared" si="0"/>
        <v>mayo</v>
      </c>
      <c r="G10" s="59" t="s">
        <v>73</v>
      </c>
      <c r="H10" s="59" t="s">
        <v>61</v>
      </c>
      <c r="I10" s="60" t="s">
        <v>74</v>
      </c>
      <c r="O10" t="s">
        <v>75</v>
      </c>
      <c r="P10">
        <v>10</v>
      </c>
    </row>
    <row r="11" spans="2:16" ht="15.75" thickBot="1">
      <c r="B11" s="63">
        <f t="shared" si="1"/>
        <v>43268</v>
      </c>
      <c r="C11">
        <v>2018</v>
      </c>
      <c r="D11">
        <f t="shared" si="2"/>
        <v>6</v>
      </c>
      <c r="E11">
        <f t="shared" si="3"/>
        <v>17</v>
      </c>
      <c r="F11" t="str">
        <f t="shared" si="0"/>
        <v>junio</v>
      </c>
      <c r="G11" s="59" t="s">
        <v>76</v>
      </c>
      <c r="H11" s="59" t="s">
        <v>77</v>
      </c>
      <c r="I11" s="60" t="s">
        <v>78</v>
      </c>
      <c r="O11" t="s">
        <v>79</v>
      </c>
      <c r="P11">
        <v>11</v>
      </c>
    </row>
    <row r="12" spans="2:16" ht="15.75" thickBot="1">
      <c r="B12" s="63">
        <f t="shared" si="1"/>
        <v>43271</v>
      </c>
      <c r="C12">
        <v>2018</v>
      </c>
      <c r="D12">
        <f t="shared" si="2"/>
        <v>6</v>
      </c>
      <c r="E12">
        <f t="shared" si="3"/>
        <v>20</v>
      </c>
      <c r="F12" t="str">
        <f t="shared" si="0"/>
        <v>junio</v>
      </c>
      <c r="G12" s="59" t="s">
        <v>80</v>
      </c>
      <c r="H12" s="59" t="s">
        <v>81</v>
      </c>
      <c r="I12" s="60" t="s">
        <v>82</v>
      </c>
      <c r="O12" t="s">
        <v>83</v>
      </c>
      <c r="P12">
        <v>12</v>
      </c>
    </row>
    <row r="13" spans="2:16" ht="15.75" thickBot="1">
      <c r="B13" s="63">
        <f t="shared" si="1"/>
        <v>43290</v>
      </c>
      <c r="C13">
        <v>2018</v>
      </c>
      <c r="D13">
        <f t="shared" si="2"/>
        <v>7</v>
      </c>
      <c r="E13">
        <f t="shared" si="3"/>
        <v>9</v>
      </c>
      <c r="F13" t="str">
        <f t="shared" si="0"/>
        <v>julio</v>
      </c>
      <c r="G13" s="59" t="s">
        <v>84</v>
      </c>
      <c r="H13" s="59" t="s">
        <v>47</v>
      </c>
      <c r="I13" s="60" t="s">
        <v>85</v>
      </c>
    </row>
    <row r="14" spans="2:16" ht="15.75" thickBot="1">
      <c r="B14" s="63">
        <f t="shared" si="1"/>
        <v>43332</v>
      </c>
      <c r="C14">
        <v>2018</v>
      </c>
      <c r="D14">
        <f t="shared" si="2"/>
        <v>8</v>
      </c>
      <c r="E14">
        <f t="shared" si="3"/>
        <v>20</v>
      </c>
      <c r="F14" t="str">
        <f t="shared" si="0"/>
        <v>agosto</v>
      </c>
      <c r="G14" s="59" t="s">
        <v>86</v>
      </c>
      <c r="H14" s="59" t="s">
        <v>47</v>
      </c>
      <c r="I14" s="60" t="s">
        <v>87</v>
      </c>
    </row>
    <row r="15" spans="2:16" ht="15.75" thickBot="1">
      <c r="B15" s="63">
        <f t="shared" si="1"/>
        <v>43388</v>
      </c>
      <c r="C15">
        <v>2018</v>
      </c>
      <c r="D15">
        <f t="shared" si="2"/>
        <v>10</v>
      </c>
      <c r="E15">
        <f t="shared" si="3"/>
        <v>15</v>
      </c>
      <c r="F15" t="str">
        <f t="shared" si="0"/>
        <v>octubre</v>
      </c>
      <c r="G15" s="59" t="s">
        <v>88</v>
      </c>
      <c r="H15" s="59" t="s">
        <v>47</v>
      </c>
      <c r="I15" s="60" t="s">
        <v>89</v>
      </c>
    </row>
    <row r="16" spans="2:16" ht="15.75" thickBot="1">
      <c r="B16" s="63">
        <f t="shared" si="1"/>
        <v>43423</v>
      </c>
      <c r="C16">
        <v>2018</v>
      </c>
      <c r="D16">
        <f t="shared" si="2"/>
        <v>11</v>
      </c>
      <c r="E16">
        <f t="shared" si="3"/>
        <v>19</v>
      </c>
      <c r="F16" t="str">
        <f t="shared" si="0"/>
        <v>noviembre</v>
      </c>
      <c r="G16" s="59" t="s">
        <v>90</v>
      </c>
      <c r="H16" s="59" t="s">
        <v>47</v>
      </c>
      <c r="I16" s="60" t="s">
        <v>91</v>
      </c>
    </row>
    <row r="17" spans="2:9" ht="15.75" thickBot="1">
      <c r="B17" s="63">
        <f t="shared" si="1"/>
        <v>43442</v>
      </c>
      <c r="C17">
        <v>2018</v>
      </c>
      <c r="D17">
        <f t="shared" si="2"/>
        <v>12</v>
      </c>
      <c r="E17">
        <f t="shared" si="3"/>
        <v>8</v>
      </c>
      <c r="F17" t="str">
        <f t="shared" si="0"/>
        <v>diciembre</v>
      </c>
      <c r="G17" s="59" t="s">
        <v>92</v>
      </c>
      <c r="H17" s="59" t="s">
        <v>57</v>
      </c>
      <c r="I17" s="60" t="s">
        <v>93</v>
      </c>
    </row>
    <row r="18" spans="2:9" ht="15.75" thickBot="1">
      <c r="B18" s="63">
        <f t="shared" si="1"/>
        <v>43458</v>
      </c>
      <c r="C18">
        <v>2018</v>
      </c>
      <c r="D18">
        <f t="shared" si="2"/>
        <v>12</v>
      </c>
      <c r="E18">
        <f t="shared" si="3"/>
        <v>24</v>
      </c>
      <c r="F18" t="str">
        <f t="shared" si="0"/>
        <v>diciembre</v>
      </c>
      <c r="G18" s="59" t="s">
        <v>94</v>
      </c>
      <c r="H18" s="59" t="s">
        <v>47</v>
      </c>
      <c r="I18" s="59" t="s">
        <v>68</v>
      </c>
    </row>
    <row r="19" spans="2:9" ht="15.75" thickBot="1">
      <c r="B19" s="63">
        <f t="shared" si="1"/>
        <v>43459</v>
      </c>
      <c r="C19">
        <v>2018</v>
      </c>
      <c r="D19">
        <f t="shared" si="2"/>
        <v>12</v>
      </c>
      <c r="E19">
        <f t="shared" si="3"/>
        <v>25</v>
      </c>
      <c r="F19" t="str">
        <f t="shared" si="0"/>
        <v>diciembre</v>
      </c>
      <c r="G19" s="59" t="s">
        <v>95</v>
      </c>
      <c r="H19" s="59" t="s">
        <v>54</v>
      </c>
      <c r="I19" s="60" t="s">
        <v>96</v>
      </c>
    </row>
    <row r="20" spans="2:9" ht="15.75" thickBot="1">
      <c r="B20" s="63">
        <f t="shared" si="1"/>
        <v>43465</v>
      </c>
      <c r="C20">
        <v>2018</v>
      </c>
      <c r="D20">
        <f t="shared" si="2"/>
        <v>12</v>
      </c>
      <c r="E20">
        <f t="shared" si="3"/>
        <v>31</v>
      </c>
      <c r="F20" t="str">
        <f t="shared" si="0"/>
        <v>diciembre</v>
      </c>
      <c r="G20" s="59" t="s">
        <v>97</v>
      </c>
      <c r="H20" s="59" t="s">
        <v>47</v>
      </c>
      <c r="I20" s="59" t="s">
        <v>98</v>
      </c>
    </row>
    <row r="21" spans="2:9" ht="15.75" thickBot="1">
      <c r="B21" s="63">
        <f t="shared" si="1"/>
        <v>43466</v>
      </c>
      <c r="C21">
        <v>2019</v>
      </c>
      <c r="D21">
        <f t="shared" ref="D21:D39" si="4">VLOOKUP(F21,$O$1:$P$12,2,FALSE)</f>
        <v>1</v>
      </c>
      <c r="E21">
        <f t="shared" si="3"/>
        <v>1</v>
      </c>
      <c r="F21" t="str">
        <f t="shared" ref="F21:F39" si="5">RIGHT(G21,LEN(G21)-FIND(" ",G21))</f>
        <v>enero</v>
      </c>
      <c r="G21" s="61" t="s">
        <v>46</v>
      </c>
      <c r="H21" s="61" t="s">
        <v>54</v>
      </c>
      <c r="I21" s="59" t="s">
        <v>48</v>
      </c>
    </row>
    <row r="22" spans="2:9" ht="15.75" thickBot="1">
      <c r="B22" s="63">
        <f t="shared" si="1"/>
        <v>43528</v>
      </c>
      <c r="C22">
        <v>2019</v>
      </c>
      <c r="D22">
        <f t="shared" si="4"/>
        <v>3</v>
      </c>
      <c r="E22">
        <f t="shared" si="3"/>
        <v>4</v>
      </c>
      <c r="F22" t="str">
        <f t="shared" si="5"/>
        <v>marzo</v>
      </c>
      <c r="G22" s="61" t="s">
        <v>99</v>
      </c>
      <c r="H22" s="61" t="s">
        <v>47</v>
      </c>
      <c r="I22" s="60" t="s">
        <v>51</v>
      </c>
    </row>
    <row r="23" spans="2:9" ht="15.75" thickBot="1">
      <c r="B23" s="63">
        <f t="shared" si="1"/>
        <v>43529</v>
      </c>
      <c r="C23">
        <v>2019</v>
      </c>
      <c r="D23">
        <f t="shared" si="4"/>
        <v>3</v>
      </c>
      <c r="E23">
        <f t="shared" si="3"/>
        <v>5</v>
      </c>
      <c r="F23" t="str">
        <f t="shared" si="5"/>
        <v>marzo</v>
      </c>
      <c r="G23" s="61" t="s">
        <v>100</v>
      </c>
      <c r="H23" s="61" t="s">
        <v>54</v>
      </c>
      <c r="I23" s="60" t="s">
        <v>51</v>
      </c>
    </row>
    <row r="24" spans="2:9" ht="15.75" thickBot="1">
      <c r="B24" s="63">
        <f t="shared" si="1"/>
        <v>43548</v>
      </c>
      <c r="C24">
        <v>2019</v>
      </c>
      <c r="D24">
        <f t="shared" si="4"/>
        <v>3</v>
      </c>
      <c r="E24">
        <f t="shared" si="3"/>
        <v>24</v>
      </c>
      <c r="F24" t="str">
        <f t="shared" si="5"/>
        <v>marzo</v>
      </c>
      <c r="G24" s="61" t="s">
        <v>56</v>
      </c>
      <c r="H24" s="61" t="s">
        <v>77</v>
      </c>
      <c r="I24" s="60" t="s">
        <v>58</v>
      </c>
    </row>
    <row r="25" spans="2:9" ht="15.75" thickBot="1">
      <c r="B25" s="63">
        <f t="shared" si="1"/>
        <v>43557</v>
      </c>
      <c r="C25">
        <v>2019</v>
      </c>
      <c r="D25">
        <f t="shared" si="4"/>
        <v>4</v>
      </c>
      <c r="E25">
        <f t="shared" si="3"/>
        <v>2</v>
      </c>
      <c r="F25" t="str">
        <f t="shared" si="5"/>
        <v>abril</v>
      </c>
      <c r="G25" s="61" t="s">
        <v>64</v>
      </c>
      <c r="H25" s="61" t="s">
        <v>54</v>
      </c>
      <c r="I25" s="60" t="s">
        <v>65</v>
      </c>
    </row>
    <row r="26" spans="2:9" ht="15.75" thickBot="1">
      <c r="B26" s="63">
        <f t="shared" si="1"/>
        <v>43574</v>
      </c>
      <c r="C26">
        <v>2019</v>
      </c>
      <c r="D26">
        <f t="shared" si="4"/>
        <v>4</v>
      </c>
      <c r="E26">
        <f t="shared" si="3"/>
        <v>19</v>
      </c>
      <c r="F26" t="str">
        <f t="shared" si="5"/>
        <v>abril</v>
      </c>
      <c r="G26" s="61" t="s">
        <v>101</v>
      </c>
      <c r="H26" s="61" t="s">
        <v>61</v>
      </c>
      <c r="I26" s="60" t="s">
        <v>62</v>
      </c>
    </row>
    <row r="27" spans="2:9" ht="15.75" thickBot="1">
      <c r="B27" s="63">
        <f t="shared" si="1"/>
        <v>43586</v>
      </c>
      <c r="C27">
        <v>2019</v>
      </c>
      <c r="D27">
        <f t="shared" si="4"/>
        <v>5</v>
      </c>
      <c r="E27">
        <f t="shared" si="3"/>
        <v>1</v>
      </c>
      <c r="F27" t="str">
        <f t="shared" si="5"/>
        <v>mayo</v>
      </c>
      <c r="G27" s="61" t="s">
        <v>70</v>
      </c>
      <c r="H27" s="61" t="s">
        <v>81</v>
      </c>
      <c r="I27" s="59" t="s">
        <v>71</v>
      </c>
    </row>
    <row r="28" spans="2:9" ht="15.75" thickBot="1">
      <c r="B28" s="63">
        <f t="shared" si="1"/>
        <v>43610</v>
      </c>
      <c r="C28">
        <v>2019</v>
      </c>
      <c r="D28">
        <f t="shared" si="4"/>
        <v>5</v>
      </c>
      <c r="E28">
        <f t="shared" si="3"/>
        <v>25</v>
      </c>
      <c r="F28" t="str">
        <f t="shared" si="5"/>
        <v>mayo</v>
      </c>
      <c r="G28" s="61" t="s">
        <v>73</v>
      </c>
      <c r="H28" s="61" t="s">
        <v>57</v>
      </c>
      <c r="I28" s="60" t="s">
        <v>74</v>
      </c>
    </row>
    <row r="29" spans="2:9" ht="15.75" thickBot="1">
      <c r="B29" s="63">
        <f t="shared" si="1"/>
        <v>43633</v>
      </c>
      <c r="C29">
        <v>2019</v>
      </c>
      <c r="D29">
        <f t="shared" si="4"/>
        <v>6</v>
      </c>
      <c r="E29">
        <f t="shared" si="3"/>
        <v>17</v>
      </c>
      <c r="F29" t="str">
        <f t="shared" si="5"/>
        <v>junio</v>
      </c>
      <c r="G29" s="61" t="s">
        <v>76</v>
      </c>
      <c r="H29" s="61" t="s">
        <v>47</v>
      </c>
      <c r="I29" s="60" t="s">
        <v>78</v>
      </c>
    </row>
    <row r="30" spans="2:9" ht="15.75" thickBot="1">
      <c r="B30" s="63">
        <f t="shared" si="1"/>
        <v>43636</v>
      </c>
      <c r="C30">
        <v>2019</v>
      </c>
      <c r="D30">
        <f t="shared" si="4"/>
        <v>6</v>
      </c>
      <c r="E30">
        <f t="shared" si="3"/>
        <v>20</v>
      </c>
      <c r="F30" t="str">
        <f t="shared" si="5"/>
        <v>junio</v>
      </c>
      <c r="G30" s="61" t="s">
        <v>80</v>
      </c>
      <c r="H30" s="61" t="s">
        <v>102</v>
      </c>
      <c r="I30" s="60" t="s">
        <v>82</v>
      </c>
    </row>
    <row r="31" spans="2:9" ht="15.75" thickBot="1">
      <c r="B31" s="63">
        <f t="shared" si="1"/>
        <v>43654</v>
      </c>
      <c r="C31">
        <v>2019</v>
      </c>
      <c r="D31">
        <f t="shared" si="4"/>
        <v>7</v>
      </c>
      <c r="E31">
        <f t="shared" si="3"/>
        <v>8</v>
      </c>
      <c r="F31" t="str">
        <f t="shared" si="5"/>
        <v>julio</v>
      </c>
      <c r="G31" s="61" t="s">
        <v>103</v>
      </c>
      <c r="H31" s="61" t="s">
        <v>47</v>
      </c>
      <c r="I31" s="60" t="s">
        <v>68</v>
      </c>
    </row>
    <row r="32" spans="2:9" ht="15.75" thickBot="1">
      <c r="B32" s="63">
        <f t="shared" si="1"/>
        <v>43655</v>
      </c>
      <c r="C32">
        <v>2019</v>
      </c>
      <c r="D32">
        <f t="shared" si="4"/>
        <v>7</v>
      </c>
      <c r="E32">
        <f t="shared" si="3"/>
        <v>9</v>
      </c>
      <c r="F32" t="str">
        <f t="shared" si="5"/>
        <v>julio</v>
      </c>
      <c r="G32" s="61" t="s">
        <v>84</v>
      </c>
      <c r="H32" s="61" t="s">
        <v>54</v>
      </c>
      <c r="I32" s="60" t="s">
        <v>85</v>
      </c>
    </row>
    <row r="33" spans="2:9" ht="15.75" thickBot="1">
      <c r="B33" s="63">
        <f t="shared" si="1"/>
        <v>43694</v>
      </c>
      <c r="C33">
        <v>2019</v>
      </c>
      <c r="D33">
        <f t="shared" si="4"/>
        <v>8</v>
      </c>
      <c r="E33">
        <f t="shared" si="3"/>
        <v>17</v>
      </c>
      <c r="F33" t="str">
        <f t="shared" si="5"/>
        <v>agosto</v>
      </c>
      <c r="G33" s="61" t="s">
        <v>104</v>
      </c>
      <c r="H33" s="61" t="s">
        <v>57</v>
      </c>
      <c r="I33" s="60" t="s">
        <v>87</v>
      </c>
    </row>
    <row r="34" spans="2:9" ht="15.75" thickBot="1">
      <c r="B34" s="63">
        <f t="shared" si="1"/>
        <v>43696</v>
      </c>
      <c r="C34">
        <v>2019</v>
      </c>
      <c r="D34">
        <f t="shared" si="4"/>
        <v>8</v>
      </c>
      <c r="E34">
        <f t="shared" si="3"/>
        <v>19</v>
      </c>
      <c r="F34" t="str">
        <f t="shared" si="5"/>
        <v>agosto</v>
      </c>
      <c r="G34" s="61" t="s">
        <v>105</v>
      </c>
      <c r="H34" s="61" t="s">
        <v>47</v>
      </c>
      <c r="I34" s="60" t="s">
        <v>68</v>
      </c>
    </row>
    <row r="35" spans="2:9" ht="15.75" thickBot="1">
      <c r="B35" s="63">
        <f t="shared" si="1"/>
        <v>43750</v>
      </c>
      <c r="C35">
        <v>2019</v>
      </c>
      <c r="D35">
        <f t="shared" si="4"/>
        <v>10</v>
      </c>
      <c r="E35">
        <f t="shared" si="3"/>
        <v>12</v>
      </c>
      <c r="F35" t="str">
        <f t="shared" si="5"/>
        <v>octubre</v>
      </c>
      <c r="G35" s="61" t="s">
        <v>106</v>
      </c>
      <c r="H35" s="61" t="s">
        <v>57</v>
      </c>
      <c r="I35" s="60" t="s">
        <v>89</v>
      </c>
    </row>
    <row r="36" spans="2:9" ht="15.75" thickBot="1">
      <c r="B36" s="63">
        <f t="shared" si="1"/>
        <v>43752</v>
      </c>
      <c r="C36">
        <v>2019</v>
      </c>
      <c r="D36">
        <f t="shared" si="4"/>
        <v>10</v>
      </c>
      <c r="E36">
        <f t="shared" si="3"/>
        <v>14</v>
      </c>
      <c r="F36" t="str">
        <f t="shared" si="5"/>
        <v>octubre</v>
      </c>
      <c r="G36" s="61" t="s">
        <v>107</v>
      </c>
      <c r="H36" s="61" t="s">
        <v>47</v>
      </c>
      <c r="I36" s="60" t="s">
        <v>68</v>
      </c>
    </row>
    <row r="37" spans="2:9" ht="15.75" thickBot="1">
      <c r="B37" s="63">
        <f t="shared" si="1"/>
        <v>43787</v>
      </c>
      <c r="C37">
        <v>2019</v>
      </c>
      <c r="D37">
        <f t="shared" si="4"/>
        <v>11</v>
      </c>
      <c r="E37">
        <f t="shared" si="3"/>
        <v>18</v>
      </c>
      <c r="F37" t="str">
        <f t="shared" si="5"/>
        <v>noviembre</v>
      </c>
      <c r="G37" s="61" t="s">
        <v>108</v>
      </c>
      <c r="H37" s="61" t="s">
        <v>47</v>
      </c>
      <c r="I37" s="60" t="s">
        <v>91</v>
      </c>
    </row>
    <row r="38" spans="2:9" ht="15.75" thickBot="1">
      <c r="B38" s="63">
        <f t="shared" si="1"/>
        <v>43807</v>
      </c>
      <c r="C38">
        <v>2019</v>
      </c>
      <c r="D38">
        <f t="shared" si="4"/>
        <v>12</v>
      </c>
      <c r="E38">
        <f t="shared" si="3"/>
        <v>8</v>
      </c>
      <c r="F38" t="str">
        <f t="shared" si="5"/>
        <v>diciembre</v>
      </c>
      <c r="G38" s="61" t="s">
        <v>92</v>
      </c>
      <c r="H38" s="61" t="s">
        <v>77</v>
      </c>
      <c r="I38" s="60" t="s">
        <v>93</v>
      </c>
    </row>
    <row r="39" spans="2:9">
      <c r="B39" s="63">
        <f t="shared" si="1"/>
        <v>43824</v>
      </c>
      <c r="C39">
        <v>2019</v>
      </c>
      <c r="D39">
        <f t="shared" si="4"/>
        <v>12</v>
      </c>
      <c r="E39">
        <f t="shared" si="3"/>
        <v>25</v>
      </c>
      <c r="F39" t="str">
        <f t="shared" si="5"/>
        <v>diciembre</v>
      </c>
      <c r="G39" s="61" t="s">
        <v>95</v>
      </c>
      <c r="H39" s="61" t="s">
        <v>81</v>
      </c>
      <c r="I39" s="60" t="s">
        <v>96</v>
      </c>
    </row>
  </sheetData>
  <hyperlinks>
    <hyperlink ref="I3" r:id="rId1" display="https://publicholidays.com.ar/es/carnival/"/>
    <hyperlink ref="I4" r:id="rId2" display="https://publicholidays.com.ar/es/carnival/"/>
    <hyperlink ref="I5" r:id="rId3" display="https://publicholidays.com.ar/es/truth-and-justice-day/"/>
    <hyperlink ref="I6" r:id="rId4" display="https://publicholidays.com.ar/es/easter/"/>
    <hyperlink ref="I7" r:id="rId5" display="https://publicholidays.com.ar/es/malvinas-day/"/>
    <hyperlink ref="I10" r:id="rId6" display="https://publicholidays.com.ar/es/revolution-day/"/>
    <hyperlink ref="I11" r:id="rId7" display="https://publicholidays.com.ar/es/martin-miguel-de-guemes-day/"/>
    <hyperlink ref="I12" r:id="rId8" display="https://publicholidays.com.ar/es/flag-day/"/>
    <hyperlink ref="I13" r:id="rId9" display="https://publicholidays.com.ar/es/independence-day/"/>
    <hyperlink ref="I14" r:id="rId10" display="https://publicholidays.com.ar/es/death-of-san-martin/"/>
    <hyperlink ref="I15" r:id="rId11" display="https://publicholidays.com.ar/es/day-of-respect-for-cultural-diversity/"/>
    <hyperlink ref="I16" r:id="rId12" display="https://publicholidays.com.ar/es/national-sovereignty-day/"/>
    <hyperlink ref="I17" r:id="rId13" display="https://publicholidays.com.ar/es/immaculate-conception/"/>
    <hyperlink ref="I19" r:id="rId14" display="https://publicholidays.com.ar/es/christmas/"/>
    <hyperlink ref="I22" r:id="rId15" display="https://publicholidays.com.ar/es/carnival/"/>
    <hyperlink ref="I23" r:id="rId16" display="https://publicholidays.com.ar/es/carnival/"/>
    <hyperlink ref="I24" r:id="rId17" display="https://publicholidays.com.ar/es/truth-and-justice-day/"/>
    <hyperlink ref="I25" r:id="rId18" display="https://publicholidays.com.ar/es/malvinas-day/"/>
    <hyperlink ref="I26" r:id="rId19" display="https://publicholidays.com.ar/es/easter/"/>
    <hyperlink ref="I28" r:id="rId20" display="https://publicholidays.com.ar/es/revolution-day/"/>
    <hyperlink ref="I29" r:id="rId21" display="https://publicholidays.com.ar/es/martin-miguel-de-guemes-day/"/>
    <hyperlink ref="I30" r:id="rId22" display="https://publicholidays.com.ar/es/flag-day/"/>
    <hyperlink ref="I31" r:id="rId23" display="https://publicholidays.com.ar/es/independence-day/"/>
    <hyperlink ref="I32" r:id="rId24" display="https://publicholidays.com.ar/es/independence-day/"/>
    <hyperlink ref="I33" r:id="rId25" display="https://publicholidays.com.ar/es/death-of-san-martin/"/>
    <hyperlink ref="I34" r:id="rId26" display="https://publicholidays.com.ar/es/death-of-san-martin/"/>
    <hyperlink ref="I35" r:id="rId27" display="https://publicholidays.com.ar/es/day-of-respect-for-cultural-diversity/"/>
    <hyperlink ref="I36" r:id="rId28" display="https://publicholidays.com.ar/es/day-of-respect-for-cultural-diversity/"/>
    <hyperlink ref="I37" r:id="rId29" display="https://publicholidays.com.ar/es/national-sovereignty-day/"/>
    <hyperlink ref="I38" r:id="rId30" display="https://publicholidays.com.ar/es/immaculate-conception/"/>
    <hyperlink ref="I39" r:id="rId31" display="https://publicholidays.com.ar/es/christmas/"/>
  </hyperlinks>
  <pageMargins left="0.7" right="0.7" top="0.75" bottom="0.75" header="0.3" footer="0.3"/>
  <pageSetup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TASA VARIABLE</vt:lpstr>
      <vt:lpstr>Definitivo</vt:lpstr>
      <vt:lpstr>Feriados</vt:lpstr>
      <vt:lpstr>Definitivo!Área_de_impresión</vt:lpstr>
      <vt:lpstr>'TASA VARIABLE'!Área_de_impresión</vt:lpstr>
      <vt:lpstr>'TASA VARIABLE'!Fecha_Emision</vt:lpstr>
      <vt:lpstr>Definitivo!Fecha_Emision_Def</vt:lpstr>
      <vt:lpstr>Feriados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2019-03-25T21:37:16Z</dcterms:modified>
</cp:coreProperties>
</file>